
<file path=[Content_Types].xml><?xml version="1.0" encoding="utf-8"?>
<Types xmlns="http://schemas.openxmlformats.org/package/2006/content-types">
  <Default Extension="png" ContentType="image/png"/>
  <Default Extension="bin" ContentType="application/vnd.openxmlformats-officedocument.spreadsheetml.printerSettings"/>
  <Default Extension="jpeg" ContentType="image/jpeg"/>
  <Default Extension="rels" ContentType="application/vnd.openxmlformats-package.relationships+xml"/>
  <Default Extension="xml" ContentType="application/xml"/>
  <Default Extension="vml" ContentType="application/vnd.openxmlformats-officedocument.vmlDrawing"/>
  <Default Extension="jpg" ContentType="image/jpe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drawings/drawing3.xml" ContentType="application/vnd.openxmlformats-officedocument.drawing+xml"/>
  <Override PartName="/xl/charts/chart2.xml" ContentType="application/vnd.openxmlformats-officedocument.drawingml.chart+xml"/>
  <Override PartName="/xl/drawings/drawing4.xml" ContentType="application/vnd.openxmlformats-officedocument.drawing+xml"/>
  <Override PartName="/xl/charts/chart3.xml" ContentType="application/vnd.openxmlformats-officedocument.drawingml.chart+xml"/>
  <Override PartName="/xl/drawings/drawing5.xml" ContentType="application/vnd.openxmlformats-officedocument.drawing+xml"/>
  <Override PartName="/xl/charts/chart4.xml" ContentType="application/vnd.openxmlformats-officedocument.drawingml.chart+xml"/>
  <Override PartName="/xl/drawings/drawing6.xml" ContentType="application/vnd.openxmlformats-officedocument.drawing+xml"/>
  <Override PartName="/xl/charts/chart5.xml" ContentType="application/vnd.openxmlformats-officedocument.drawingml.chart+xml"/>
  <Override PartName="/xl/drawings/drawing7.xml" ContentType="application/vnd.openxmlformats-officedocument.drawing+xml"/>
  <Override PartName="/xl/drawings/drawing8.xml" ContentType="application/vnd.openxmlformats-officedocument.drawing+xml"/>
  <Override PartName="/xl/charts/chart6.xml" ContentType="application/vnd.openxmlformats-officedocument.drawingml.chart+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xl/drawings/drawing23.xml" ContentType="application/vnd.openxmlformats-officedocument.drawing+xml"/>
  <Override PartName="/xl/charts/chart7.xml" ContentType="application/vnd.openxmlformats-officedocument.drawingml.chart+xml"/>
  <Override PartName="/xl/drawings/drawing24.xml" ContentType="application/vnd.openxmlformats-officedocument.drawing+xml"/>
  <Override PartName="/xl/drawings/drawing2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325"/>
  <workbookPr codeName="ThisWorkbook"/>
  <mc:AlternateContent xmlns:mc="http://schemas.openxmlformats.org/markup-compatibility/2006">
    <mc:Choice Requires="x15">
      <x15ac:absPath xmlns:x15ac="http://schemas.microsoft.com/office/spreadsheetml/2010/11/ac" url="C:\Users\user1\Desktop\"/>
    </mc:Choice>
  </mc:AlternateContent>
  <xr:revisionPtr revIDLastSave="0" documentId="13_ncr:8001_{08380379-770A-4FC6-95E5-FC214852FCD1}" xr6:coauthVersionLast="34" xr6:coauthVersionMax="34" xr10:uidLastSave="{00000000-0000-0000-0000-000000000000}"/>
  <workbookProtection workbookAlgorithmName="SHA-512" workbookHashValue="4OnqTPsdUch+A6v6/5aJJYqz1XZfhOrh798j4C5YSmuWlXcHs6TpSPKsPO5ol9H1Ilp0jiq1B6yCtVLadYgaPQ==" workbookSaltValue="/XD9E8tTuXD3Nxpd+XsShw==" workbookSpinCount="100000" lockStructure="1"/>
  <bookViews>
    <workbookView showSheetTabs="0" xWindow="0" yWindow="0" windowWidth="20490" windowHeight="7530" tabRatio="891" xr2:uid="{00000000-000D-0000-FFFF-FFFF00000000}"/>
  </bookViews>
  <sheets>
    <sheet name="MAIN MENU" sheetId="18" r:id="rId1"/>
    <sheet name="SIP GRAPH" sheetId="20" r:id="rId2"/>
    <sheet name="SIP DELAY" sheetId="21" r:id="rId3"/>
    <sheet name="SIP TARGET" sheetId="22" r:id="rId4"/>
    <sheet name="RETIREMENT" sheetId="23" r:id="rId5"/>
    <sheet name="SWP_NEW" sheetId="46" r:id="rId6"/>
    <sheet name="SWP" sheetId="24" state="hidden" r:id="rId7"/>
    <sheet name="STP_CapSafe" sheetId="25" state="hidden" r:id="rId8"/>
    <sheet name="SAVING ON EMI" sheetId="26" state="hidden" r:id="rId9"/>
    <sheet name="DCF" sheetId="29" r:id="rId10"/>
    <sheet name="FinPlan" sheetId="30" r:id="rId11"/>
    <sheet name="OTHERS" sheetId="31" r:id="rId12"/>
    <sheet name="OTHERS (2)" sheetId="32" r:id="rId13"/>
    <sheet name="Debt_FD" sheetId="33" r:id="rId14"/>
    <sheet name="Debt_FD_SWP (2)" sheetId="42" r:id="rId15"/>
    <sheet name="SWP_CashFlow (2)" sheetId="41" r:id="rId16"/>
    <sheet name="Debt_FD_SWP (3)" sheetId="44" r:id="rId17"/>
    <sheet name="SWP_CashFlow (3)" sheetId="43" r:id="rId18"/>
    <sheet name="HomePage" sheetId="36" r:id="rId19"/>
    <sheet name="AMT" sheetId="37" state="hidden" r:id="rId20"/>
    <sheet name="PERCENT" sheetId="38" state="hidden" r:id="rId21"/>
    <sheet name="RESULT" sheetId="39" r:id="rId22"/>
    <sheet name="ANALYSIS" sheetId="40" r:id="rId23"/>
    <sheet name="Capital Gain" sheetId="45" r:id="rId24"/>
    <sheet name="DISCLAIMER" sheetId="4" r:id="rId25"/>
  </sheets>
  <definedNames>
    <definedName name="CellOne">FinPlan!$D$3</definedName>
    <definedName name="D_DDT">'SWP_CashFlow (2)'!$O$3</definedName>
    <definedName name="D_ServiceTax">'SWP_CashFlow (2)'!$T$3</definedName>
    <definedName name="D_Surcharge">'SWP_CashFlow (2)'!$Q$3</definedName>
    <definedName name="DCF">DCF!$B$2</definedName>
    <definedName name="Debt_FD">Debt_FD!$C$2</definedName>
    <definedName name="DivSWP">'Debt_FD_SWP (2)'!$C$3</definedName>
    <definedName name="E_DDT">'SWP_CashFlow (2)'!$O$2</definedName>
    <definedName name="E_ServiceTax" localSheetId="17">'SWP_CashFlow (3)'!$P$2</definedName>
    <definedName name="E_ServiceTax">'SWP_CashFlow (2)'!$T$2</definedName>
    <definedName name="E_Surcharge">'SWP_CashFlow (2)'!$Q$2</definedName>
    <definedName name="GOALS">DCF!$P$10:$P$30</definedName>
    <definedName name="HOME" localSheetId="19">AMT!$E$6</definedName>
    <definedName name="HOME" localSheetId="22">PERCENT!$E$6</definedName>
    <definedName name="HOME" localSheetId="18">HomePage!$D$4</definedName>
    <definedName name="HOME" localSheetId="21">PERCENT!$E$6</definedName>
    <definedName name="HOME">PERCENT!$E$6</definedName>
    <definedName name="HOME_LOAN">'SAVING ON EMI'!$C$4</definedName>
    <definedName name="IntSWP">'Debt_FD_SWP (3)'!$C$3</definedName>
    <definedName name="_xlnm.Print_Area" localSheetId="22">ANALYSIS!$A$1:$M$18</definedName>
    <definedName name="_xlnm.Print_Area" localSheetId="9">DCF!$A$1:$F$26</definedName>
    <definedName name="_xlnm.Print_Area" localSheetId="4">RETIREMENT!$A$1:$R$17</definedName>
    <definedName name="_xlnm.Print_Area" localSheetId="2">'SIP DELAY'!$A$1:$M$17</definedName>
    <definedName name="_xlnm.Print_Area" localSheetId="3">'SIP TARGET'!$A$1:$R$23</definedName>
    <definedName name="_xlnm.Print_Area" localSheetId="6">SWP!$A$1:$H$44</definedName>
    <definedName name="RESULT">RESULT!$Q$2</definedName>
    <definedName name="RETIREMENT">RETIREMENT!$G$2</definedName>
    <definedName name="Scenario1">'SAVING ON EMI'!$F$7</definedName>
    <definedName name="Scenario2" localSheetId="12">#REF!</definedName>
    <definedName name="SIP_DELAY">'SIP DELAY'!$F$2</definedName>
    <definedName name="SIP_GRAPH">'SIP GRAPH'!$G$2</definedName>
    <definedName name="SIP_TARGET">'SIP TARGET'!$F$2</definedName>
    <definedName name="STP_CapSafe">STP_CapSafe!$C$3</definedName>
    <definedName name="SWP" localSheetId="12">SWP!#REF!</definedName>
    <definedName name="Table">RESULT!$A$35</definedName>
    <definedName name="Validation" localSheetId="14">'Debt_FD_SWP (2)'!$O$2:$O$3</definedName>
    <definedName name="Validation" localSheetId="16">'Debt_FD_SWP (3)'!$O$2:$O$3</definedName>
    <definedName name="Years">SWP!$O$4:$O$34</definedName>
  </definedNames>
  <calcPr calcId="179021" iterateCount="1"/>
  <customWorkbookViews>
    <customWorkbookView name="JIGAR - Personal View" guid="{79659748-D45A-4BB2-979D-51E4C34D3332}" mergeInterval="0" personalView="1" maximized="1" xWindow="1" yWindow="1" windowWidth="1366" windowHeight="538" tabRatio="601" activeSheetId="1"/>
  </customWorkbookViews>
</workbook>
</file>

<file path=xl/calcChain.xml><?xml version="1.0" encoding="utf-8"?>
<calcChain xmlns="http://schemas.openxmlformats.org/spreadsheetml/2006/main">
  <c r="J52" i="46" l="1"/>
  <c r="J51" i="46"/>
  <c r="J50" i="46"/>
  <c r="J49" i="46"/>
  <c r="J48" i="46"/>
  <c r="J47" i="46"/>
  <c r="J46" i="46"/>
  <c r="J45" i="46"/>
  <c r="J44" i="46"/>
  <c r="J43" i="46"/>
  <c r="J42" i="46"/>
  <c r="J41" i="46"/>
  <c r="J40" i="46"/>
  <c r="J39" i="46"/>
  <c r="J38" i="46"/>
  <c r="J37" i="46"/>
  <c r="J36" i="46"/>
  <c r="J35" i="46"/>
  <c r="J34" i="46"/>
  <c r="J33" i="46"/>
  <c r="J32" i="46"/>
  <c r="J31" i="46"/>
  <c r="J30" i="46"/>
  <c r="J29" i="46"/>
  <c r="J28" i="46"/>
  <c r="J27" i="46"/>
  <c r="J26" i="46"/>
  <c r="J25" i="46"/>
  <c r="J24" i="46"/>
  <c r="J23" i="46"/>
  <c r="J22" i="46"/>
  <c r="J21" i="46"/>
  <c r="J20" i="46"/>
  <c r="J19" i="46"/>
  <c r="J18" i="46"/>
  <c r="J17" i="46"/>
  <c r="J16" i="46"/>
  <c r="J15" i="46"/>
  <c r="J14" i="46"/>
  <c r="J13" i="46"/>
  <c r="J12" i="46"/>
  <c r="D12" i="46"/>
  <c r="D13" i="46" s="1"/>
  <c r="C12" i="46"/>
  <c r="B12" i="46"/>
  <c r="B13" i="46" s="1"/>
  <c r="B14" i="46" s="1"/>
  <c r="B15" i="46" s="1"/>
  <c r="B16" i="46" s="1"/>
  <c r="B17" i="46" s="1"/>
  <c r="B18" i="46" s="1"/>
  <c r="B19" i="46" s="1"/>
  <c r="B20" i="46" s="1"/>
  <c r="B21" i="46" s="1"/>
  <c r="B22" i="46" s="1"/>
  <c r="B23" i="46" s="1"/>
  <c r="B24" i="46" s="1"/>
  <c r="B25" i="46" s="1"/>
  <c r="B26" i="46" s="1"/>
  <c r="B27" i="46" s="1"/>
  <c r="B28" i="46" s="1"/>
  <c r="B29" i="46" s="1"/>
  <c r="B30" i="46" s="1"/>
  <c r="B31" i="46" s="1"/>
  <c r="B32" i="46" s="1"/>
  <c r="B33" i="46" s="1"/>
  <c r="B34" i="46" s="1"/>
  <c r="B35" i="46" s="1"/>
  <c r="B36" i="46" s="1"/>
  <c r="B37" i="46" s="1"/>
  <c r="B38" i="46" s="1"/>
  <c r="B39" i="46" s="1"/>
  <c r="B40" i="46" s="1"/>
  <c r="B41" i="46" s="1"/>
  <c r="B42" i="46" s="1"/>
  <c r="B43" i="46" s="1"/>
  <c r="B44" i="46" s="1"/>
  <c r="B45" i="46" s="1"/>
  <c r="B46" i="46" s="1"/>
  <c r="B47" i="46" s="1"/>
  <c r="B48" i="46" s="1"/>
  <c r="B49" i="46" s="1"/>
  <c r="B50" i="46" s="1"/>
  <c r="B51" i="46" s="1"/>
  <c r="B52" i="46" s="1"/>
  <c r="S4" i="46"/>
  <c r="Q4" i="46"/>
  <c r="S3" i="46"/>
  <c r="Q3" i="46"/>
  <c r="S2" i="46"/>
  <c r="R5" i="46" s="1"/>
  <c r="Q2" i="46"/>
  <c r="D14" i="46" l="1"/>
  <c r="E13" i="46"/>
  <c r="L12" i="46"/>
  <c r="L13" i="46" s="1"/>
  <c r="E12" i="46"/>
  <c r="F12" i="46"/>
  <c r="K12" i="46" s="1"/>
  <c r="C13" i="46" s="1"/>
  <c r="F13" i="46" s="1"/>
  <c r="L14" i="46" l="1"/>
  <c r="H13" i="46"/>
  <c r="I13" i="46" s="1"/>
  <c r="G13" i="46"/>
  <c r="K13" i="46"/>
  <c r="C14" i="46" s="1"/>
  <c r="F14" i="46" s="1"/>
  <c r="G12" i="46"/>
  <c r="H12" i="46"/>
  <c r="I12" i="46" s="1"/>
  <c r="E14" i="46"/>
  <c r="D15" i="46"/>
  <c r="E15" i="46" l="1"/>
  <c r="D16" i="46"/>
  <c r="L15" i="46"/>
  <c r="H14" i="46"/>
  <c r="I14" i="46" s="1"/>
  <c r="G14" i="46"/>
  <c r="K14" i="46"/>
  <c r="C15" i="46" s="1"/>
  <c r="F15" i="46" s="1"/>
  <c r="L16" i="46" l="1"/>
  <c r="G15" i="46"/>
  <c r="H15" i="46"/>
  <c r="I15" i="46" s="1"/>
  <c r="K15" i="46"/>
  <c r="C16" i="46" s="1"/>
  <c r="F16" i="46" s="1"/>
  <c r="D17" i="46"/>
  <c r="E16" i="46"/>
  <c r="D18" i="46" l="1"/>
  <c r="E17" i="46"/>
  <c r="L17" i="46"/>
  <c r="L18" i="46" s="1"/>
  <c r="G16" i="46"/>
  <c r="H16" i="46"/>
  <c r="I16" i="46" s="1"/>
  <c r="K16" i="46"/>
  <c r="C17" i="46" s="1"/>
  <c r="F17" i="46" s="1"/>
  <c r="H17" i="46" l="1"/>
  <c r="I17" i="46" s="1"/>
  <c r="G17" i="46"/>
  <c r="K17" i="46"/>
  <c r="C18" i="46" s="1"/>
  <c r="F18" i="46" s="1"/>
  <c r="E18" i="46"/>
  <c r="D19" i="46"/>
  <c r="L19" i="46" s="1"/>
  <c r="H18" i="46" l="1"/>
  <c r="I18" i="46" s="1"/>
  <c r="G18" i="46"/>
  <c r="K18" i="46"/>
  <c r="C19" i="46" s="1"/>
  <c r="F19" i="46" s="1"/>
  <c r="E19" i="46"/>
  <c r="D20" i="46"/>
  <c r="H19" i="46" l="1"/>
  <c r="I19" i="46" s="1"/>
  <c r="G19" i="46"/>
  <c r="K19" i="46"/>
  <c r="C20" i="46" s="1"/>
  <c r="F20" i="46" s="1"/>
  <c r="D21" i="46"/>
  <c r="E20" i="46"/>
  <c r="L20" i="46"/>
  <c r="L21" i="46" s="1"/>
  <c r="H20" i="46" l="1"/>
  <c r="I20" i="46" s="1"/>
  <c r="G20" i="46"/>
  <c r="K20" i="46"/>
  <c r="C21" i="46" s="1"/>
  <c r="F21" i="46" s="1"/>
  <c r="D22" i="46"/>
  <c r="L22" i="46" s="1"/>
  <c r="E21" i="46"/>
  <c r="G21" i="46" l="1"/>
  <c r="H21" i="46"/>
  <c r="I21" i="46" s="1"/>
  <c r="K21" i="46"/>
  <c r="C22" i="46" s="1"/>
  <c r="F22" i="46" s="1"/>
  <c r="D23" i="46"/>
  <c r="L23" i="46" s="1"/>
  <c r="E22" i="46"/>
  <c r="H22" i="46" l="1"/>
  <c r="I22" i="46" s="1"/>
  <c r="G22" i="46"/>
  <c r="K22" i="46"/>
  <c r="C23" i="46" s="1"/>
  <c r="F23" i="46" s="1"/>
  <c r="E23" i="46"/>
  <c r="D24" i="46"/>
  <c r="H23" i="46" l="1"/>
  <c r="I23" i="46" s="1"/>
  <c r="G23" i="46"/>
  <c r="K23" i="46"/>
  <c r="C24" i="46" s="1"/>
  <c r="F24" i="46" s="1"/>
  <c r="D25" i="46"/>
  <c r="E24" i="46"/>
  <c r="L24" i="46"/>
  <c r="G24" i="46" l="1"/>
  <c r="H24" i="46"/>
  <c r="I24" i="46" s="1"/>
  <c r="K24" i="46"/>
  <c r="C25" i="46" s="1"/>
  <c r="F25" i="46" s="1"/>
  <c r="D26" i="46"/>
  <c r="E25" i="46"/>
  <c r="L25" i="46"/>
  <c r="G25" i="46" l="1"/>
  <c r="H25" i="46"/>
  <c r="I25" i="46" s="1"/>
  <c r="K25" i="46"/>
  <c r="C26" i="46" s="1"/>
  <c r="F26" i="46" s="1"/>
  <c r="D27" i="46"/>
  <c r="E26" i="46"/>
  <c r="L26" i="46"/>
  <c r="H26" i="46" l="1"/>
  <c r="I26" i="46" s="1"/>
  <c r="G26" i="46"/>
  <c r="K26" i="46"/>
  <c r="C27" i="46" s="1"/>
  <c r="F27" i="46" s="1"/>
  <c r="E27" i="46"/>
  <c r="D28" i="46"/>
  <c r="L27" i="46"/>
  <c r="L28" i="46" l="1"/>
  <c r="H27" i="46"/>
  <c r="I27" i="46" s="1"/>
  <c r="G27" i="46"/>
  <c r="K27" i="46"/>
  <c r="C28" i="46" s="1"/>
  <c r="F28" i="46" s="1"/>
  <c r="D29" i="46"/>
  <c r="L29" i="46" s="1"/>
  <c r="E28" i="46"/>
  <c r="H28" i="46" l="1"/>
  <c r="I28" i="46" s="1"/>
  <c r="G28" i="46"/>
  <c r="K28" i="46"/>
  <c r="C29" i="46" s="1"/>
  <c r="F29" i="46" s="1"/>
  <c r="D30" i="46"/>
  <c r="L30" i="46" s="1"/>
  <c r="E29" i="46"/>
  <c r="G29" i="46" l="1"/>
  <c r="H29" i="46"/>
  <c r="I29" i="46" s="1"/>
  <c r="K29" i="46"/>
  <c r="C30" i="46" s="1"/>
  <c r="F30" i="46" s="1"/>
  <c r="D31" i="46"/>
  <c r="L31" i="46" s="1"/>
  <c r="E30" i="46"/>
  <c r="H30" i="46" l="1"/>
  <c r="I30" i="46" s="1"/>
  <c r="G30" i="46"/>
  <c r="K30" i="46"/>
  <c r="C31" i="46" s="1"/>
  <c r="F31" i="46" s="1"/>
  <c r="E31" i="46"/>
  <c r="D32" i="46"/>
  <c r="L32" i="46" s="1"/>
  <c r="G31" i="46" l="1"/>
  <c r="H31" i="46"/>
  <c r="I31" i="46" s="1"/>
  <c r="K31" i="46"/>
  <c r="C32" i="46" s="1"/>
  <c r="F32" i="46" s="1"/>
  <c r="D33" i="46"/>
  <c r="L33" i="46" s="1"/>
  <c r="E32" i="46"/>
  <c r="H32" i="46" l="1"/>
  <c r="I32" i="46" s="1"/>
  <c r="G32" i="46"/>
  <c r="K32" i="46"/>
  <c r="C33" i="46" s="1"/>
  <c r="F33" i="46" s="1"/>
  <c r="D34" i="46"/>
  <c r="L34" i="46" s="1"/>
  <c r="E33" i="46"/>
  <c r="G33" i="46" l="1"/>
  <c r="H33" i="46"/>
  <c r="I33" i="46" s="1"/>
  <c r="K33" i="46"/>
  <c r="C34" i="46" s="1"/>
  <c r="F34" i="46" s="1"/>
  <c r="D35" i="46"/>
  <c r="L35" i="46" s="1"/>
  <c r="E34" i="46"/>
  <c r="H34" i="46" l="1"/>
  <c r="I34" i="46" s="1"/>
  <c r="G34" i="46"/>
  <c r="K34" i="46"/>
  <c r="C35" i="46" s="1"/>
  <c r="F35" i="46" s="1"/>
  <c r="E35" i="46"/>
  <c r="D36" i="46"/>
  <c r="L36" i="46" s="1"/>
  <c r="H35" i="46" l="1"/>
  <c r="I35" i="46" s="1"/>
  <c r="G35" i="46"/>
  <c r="K35" i="46"/>
  <c r="C36" i="46" s="1"/>
  <c r="F36" i="46" s="1"/>
  <c r="D37" i="46"/>
  <c r="L37" i="46" s="1"/>
  <c r="E36" i="46"/>
  <c r="H36" i="46" l="1"/>
  <c r="I36" i="46" s="1"/>
  <c r="G36" i="46"/>
  <c r="K36" i="46"/>
  <c r="C37" i="46" s="1"/>
  <c r="F37" i="46" s="1"/>
  <c r="E37" i="46"/>
  <c r="D38" i="46"/>
  <c r="L38" i="46" s="1"/>
  <c r="H37" i="46" l="1"/>
  <c r="I37" i="46" s="1"/>
  <c r="G37" i="46"/>
  <c r="K37" i="46"/>
  <c r="C38" i="46" s="1"/>
  <c r="F38" i="46" s="1"/>
  <c r="E38" i="46"/>
  <c r="D39" i="46"/>
  <c r="L39" i="46" s="1"/>
  <c r="H38" i="46" l="1"/>
  <c r="I38" i="46" s="1"/>
  <c r="G38" i="46"/>
  <c r="K38" i="46"/>
  <c r="C39" i="46" s="1"/>
  <c r="F39" i="46" s="1"/>
  <c r="D40" i="46"/>
  <c r="E39" i="46"/>
  <c r="D41" i="46" l="1"/>
  <c r="E40" i="46"/>
  <c r="L40" i="46"/>
  <c r="L41" i="46" s="1"/>
  <c r="G39" i="46"/>
  <c r="H39" i="46"/>
  <c r="I39" i="46" s="1"/>
  <c r="K39" i="46"/>
  <c r="C40" i="46" s="1"/>
  <c r="F40" i="46" s="1"/>
  <c r="H40" i="46" l="1"/>
  <c r="I40" i="46" s="1"/>
  <c r="G40" i="46"/>
  <c r="K40" i="46"/>
  <c r="C41" i="46" s="1"/>
  <c r="F41" i="46" s="1"/>
  <c r="E41" i="46"/>
  <c r="D42" i="46"/>
  <c r="L42" i="46" s="1"/>
  <c r="E42" i="46" l="1"/>
  <c r="D43" i="46"/>
  <c r="H41" i="46"/>
  <c r="I41" i="46" s="1"/>
  <c r="G41" i="46"/>
  <c r="K41" i="46"/>
  <c r="C42" i="46" s="1"/>
  <c r="F42" i="46" s="1"/>
  <c r="H42" i="46" l="1"/>
  <c r="I42" i="46" s="1"/>
  <c r="G42" i="46"/>
  <c r="K42" i="46"/>
  <c r="C43" i="46" s="1"/>
  <c r="F43" i="46" s="1"/>
  <c r="D44" i="46"/>
  <c r="E43" i="46"/>
  <c r="L43" i="46"/>
  <c r="D45" i="46" l="1"/>
  <c r="E44" i="46"/>
  <c r="L44" i="46"/>
  <c r="L45" i="46" s="1"/>
  <c r="G43" i="46"/>
  <c r="H43" i="46"/>
  <c r="I43" i="46" s="1"/>
  <c r="K43" i="46"/>
  <c r="C44" i="46" s="1"/>
  <c r="F44" i="46" s="1"/>
  <c r="H44" i="46" l="1"/>
  <c r="I44" i="46" s="1"/>
  <c r="G44" i="46"/>
  <c r="K44" i="46"/>
  <c r="C45" i="46" s="1"/>
  <c r="F45" i="46" s="1"/>
  <c r="E45" i="46"/>
  <c r="D46" i="46"/>
  <c r="L46" i="46" s="1"/>
  <c r="H45" i="46" l="1"/>
  <c r="I45" i="46" s="1"/>
  <c r="G45" i="46"/>
  <c r="K45" i="46"/>
  <c r="C46" i="46" s="1"/>
  <c r="F46" i="46" s="1"/>
  <c r="E46" i="46"/>
  <c r="D47" i="46"/>
  <c r="L47" i="46" s="1"/>
  <c r="H46" i="46" l="1"/>
  <c r="I46" i="46" s="1"/>
  <c r="G46" i="46"/>
  <c r="K46" i="46"/>
  <c r="C47" i="46" s="1"/>
  <c r="F47" i="46" s="1"/>
  <c r="D48" i="46"/>
  <c r="E47" i="46"/>
  <c r="G47" i="46" l="1"/>
  <c r="H47" i="46"/>
  <c r="I47" i="46" s="1"/>
  <c r="K47" i="46"/>
  <c r="C48" i="46" s="1"/>
  <c r="F48" i="46" s="1"/>
  <c r="D49" i="46"/>
  <c r="E48" i="46"/>
  <c r="L48" i="46"/>
  <c r="E49" i="46" l="1"/>
  <c r="D50" i="46"/>
  <c r="H48" i="46"/>
  <c r="I48" i="46" s="1"/>
  <c r="G48" i="46"/>
  <c r="K48" i="46"/>
  <c r="C49" i="46" s="1"/>
  <c r="F49" i="46" s="1"/>
  <c r="L49" i="46"/>
  <c r="L50" i="46" s="1"/>
  <c r="E50" i="46" l="1"/>
  <c r="D51" i="46"/>
  <c r="H49" i="46"/>
  <c r="I49" i="46" s="1"/>
  <c r="G49" i="46"/>
  <c r="K49" i="46"/>
  <c r="C50" i="46" s="1"/>
  <c r="F50" i="46" s="1"/>
  <c r="H50" i="46" l="1"/>
  <c r="I50" i="46" s="1"/>
  <c r="G50" i="46"/>
  <c r="K50" i="46"/>
  <c r="C51" i="46" s="1"/>
  <c r="F51" i="46" s="1"/>
  <c r="D52" i="46"/>
  <c r="E52" i="46" s="1"/>
  <c r="E51" i="46"/>
  <c r="L51" i="46"/>
  <c r="L52" i="46" l="1"/>
  <c r="G51" i="46"/>
  <c r="H51" i="46"/>
  <c r="I51" i="46" s="1"/>
  <c r="K51" i="46"/>
  <c r="C52" i="46" s="1"/>
  <c r="F52" i="46" s="1"/>
  <c r="H52" i="46" l="1"/>
  <c r="I52" i="46" s="1"/>
  <c r="G52" i="46"/>
  <c r="K52" i="46"/>
  <c r="M9" i="46" l="1"/>
  <c r="Q9" i="46" s="1"/>
  <c r="M7" i="46"/>
  <c r="Q7" i="46" s="1"/>
  <c r="J8" i="45" l="1"/>
  <c r="J7" i="45"/>
  <c r="J9" i="45" s="1"/>
  <c r="E6" i="45"/>
  <c r="J4" i="45"/>
  <c r="H4" i="45"/>
  <c r="E3" i="45"/>
  <c r="E4" i="45" s="1"/>
  <c r="E5" i="45" s="1"/>
  <c r="E7" i="45" s="1"/>
  <c r="E8" i="45" s="1"/>
  <c r="E9" i="45" s="1"/>
  <c r="L2" i="45"/>
  <c r="L4" i="45" s="1"/>
  <c r="K2" i="45"/>
  <c r="K4" i="45" s="1"/>
  <c r="C2" i="43"/>
  <c r="P74" i="43" s="1"/>
  <c r="K16" i="44" s="1"/>
  <c r="C2" i="41"/>
  <c r="F6" i="41" s="1"/>
  <c r="D12" i="44"/>
  <c r="D11" i="44"/>
  <c r="B6" i="44"/>
  <c r="P72" i="43"/>
  <c r="P64" i="43"/>
  <c r="P57" i="43"/>
  <c r="P54" i="43"/>
  <c r="P41" i="43"/>
  <c r="P38" i="43"/>
  <c r="P36" i="43"/>
  <c r="P22" i="43"/>
  <c r="P29" i="43"/>
  <c r="P9" i="43"/>
  <c r="P14" i="43"/>
  <c r="P18" i="43"/>
  <c r="F4" i="43"/>
  <c r="F3" i="43"/>
  <c r="F2" i="43"/>
  <c r="F1" i="43"/>
  <c r="C3" i="43"/>
  <c r="I60" i="43" s="1"/>
  <c r="O1" i="43"/>
  <c r="N70" i="43" s="1"/>
  <c r="B8" i="44"/>
  <c r="D7" i="43"/>
  <c r="B6" i="42"/>
  <c r="D12" i="42"/>
  <c r="D11" i="42"/>
  <c r="I8" i="42"/>
  <c r="B8" i="42"/>
  <c r="F3" i="41"/>
  <c r="F4" i="41"/>
  <c r="F2" i="41"/>
  <c r="F1" i="41"/>
  <c r="D7" i="41" s="1"/>
  <c r="D8" i="41" s="1"/>
  <c r="D9" i="41" s="1"/>
  <c r="D10" i="41" s="1"/>
  <c r="C3" i="41"/>
  <c r="O70" i="43" l="1"/>
  <c r="N15" i="43"/>
  <c r="O15" i="43" s="1"/>
  <c r="N11" i="43"/>
  <c r="O11" i="43" s="1"/>
  <c r="N9" i="43"/>
  <c r="O9" i="43" s="1"/>
  <c r="N32" i="43"/>
  <c r="O32" i="43" s="1"/>
  <c r="N27" i="43"/>
  <c r="O27" i="43" s="1"/>
  <c r="N25" i="43"/>
  <c r="O25" i="43" s="1"/>
  <c r="N44" i="43"/>
  <c r="O44" i="43" s="1"/>
  <c r="N49" i="43"/>
  <c r="O49" i="43" s="1"/>
  <c r="N52" i="43"/>
  <c r="O52" i="43" s="1"/>
  <c r="N60" i="43"/>
  <c r="O60" i="43" s="1"/>
  <c r="N67" i="43"/>
  <c r="O67" i="43" s="1"/>
  <c r="N7" i="43"/>
  <c r="O7" i="43" s="1"/>
  <c r="N17" i="43"/>
  <c r="O17" i="43" s="1"/>
  <c r="N14" i="43"/>
  <c r="O14" i="43" s="1"/>
  <c r="N10" i="43"/>
  <c r="O10" i="43" s="1"/>
  <c r="P7" i="43"/>
  <c r="P17" i="43"/>
  <c r="P11" i="43"/>
  <c r="P21" i="43"/>
  <c r="P30" i="43"/>
  <c r="P28" i="43"/>
  <c r="P25" i="43"/>
  <c r="N24" i="43"/>
  <c r="O24" i="43" s="1"/>
  <c r="N35" i="43"/>
  <c r="O35" i="43" s="1"/>
  <c r="P37" i="43"/>
  <c r="N40" i="43"/>
  <c r="O40" i="43" s="1"/>
  <c r="N43" i="43"/>
  <c r="O43" i="43" s="1"/>
  <c r="P45" i="43"/>
  <c r="P50" i="43"/>
  <c r="N53" i="43"/>
  <c r="O53" i="43" s="1"/>
  <c r="N56" i="43"/>
  <c r="O56" i="43" s="1"/>
  <c r="N59" i="43"/>
  <c r="O59" i="43" s="1"/>
  <c r="P63" i="43"/>
  <c r="P65" i="43"/>
  <c r="P68" i="43"/>
  <c r="P71" i="43"/>
  <c r="P73" i="43"/>
  <c r="K6" i="45"/>
  <c r="L6" i="45"/>
  <c r="P13" i="43"/>
  <c r="N21" i="43"/>
  <c r="O21" i="43" s="1"/>
  <c r="P31" i="43"/>
  <c r="N29" i="43"/>
  <c r="O29" i="43" s="1"/>
  <c r="P26" i="43"/>
  <c r="N22" i="43"/>
  <c r="O22" i="43" s="1"/>
  <c r="N37" i="43"/>
  <c r="O37" i="43" s="1"/>
  <c r="P39" i="43"/>
  <c r="N42" i="43"/>
  <c r="O42" i="43" s="1"/>
  <c r="N45" i="43"/>
  <c r="O45" i="43" s="1"/>
  <c r="P49" i="43"/>
  <c r="P52" i="43"/>
  <c r="P55" i="43"/>
  <c r="N58" i="43"/>
  <c r="O58" i="43" s="1"/>
  <c r="N63" i="43"/>
  <c r="O63" i="43" s="1"/>
  <c r="N65" i="43"/>
  <c r="O65" i="43" s="1"/>
  <c r="N68" i="43"/>
  <c r="O68" i="43" s="1"/>
  <c r="N71" i="43"/>
  <c r="O71" i="43" s="1"/>
  <c r="N73" i="43"/>
  <c r="O73" i="43" s="1"/>
  <c r="N18" i="43"/>
  <c r="O18" i="43" s="1"/>
  <c r="N13" i="43"/>
  <c r="O13" i="43" s="1"/>
  <c r="P15" i="43"/>
  <c r="P10" i="43"/>
  <c r="N30" i="43"/>
  <c r="O30" i="43" s="1"/>
  <c r="P27" i="43"/>
  <c r="P23" i="43"/>
  <c r="N36" i="43"/>
  <c r="O36" i="43" s="1"/>
  <c r="N38" i="43"/>
  <c r="O38" i="43" s="1"/>
  <c r="P40" i="43"/>
  <c r="P43" i="43"/>
  <c r="P46" i="43"/>
  <c r="N51" i="43"/>
  <c r="O51" i="43" s="1"/>
  <c r="N54" i="43"/>
  <c r="O54" i="43" s="1"/>
  <c r="P56" i="43"/>
  <c r="P59" i="43"/>
  <c r="N64" i="43"/>
  <c r="O64" i="43" s="1"/>
  <c r="P66" i="43"/>
  <c r="P69" i="43"/>
  <c r="N72" i="43"/>
  <c r="O72" i="43" s="1"/>
  <c r="N16" i="43"/>
  <c r="O16" i="43" s="1"/>
  <c r="N12" i="43"/>
  <c r="O12" i="43" s="1"/>
  <c r="N8" i="43"/>
  <c r="O8" i="43" s="1"/>
  <c r="P16" i="43"/>
  <c r="P12" i="43"/>
  <c r="P8" i="43"/>
  <c r="P32" i="43"/>
  <c r="N31" i="43"/>
  <c r="O31" i="43" s="1"/>
  <c r="N28" i="43"/>
  <c r="O28" i="43" s="1"/>
  <c r="N26" i="43"/>
  <c r="O26" i="43" s="1"/>
  <c r="P24" i="43"/>
  <c r="N23" i="43"/>
  <c r="O23" i="43" s="1"/>
  <c r="P35" i="43"/>
  <c r="N39" i="43"/>
  <c r="O39" i="43" s="1"/>
  <c r="N41" i="43"/>
  <c r="O41" i="43" s="1"/>
  <c r="P42" i="43"/>
  <c r="P44" i="43"/>
  <c r="N46" i="43"/>
  <c r="O46" i="43" s="1"/>
  <c r="N50" i="43"/>
  <c r="O50" i="43" s="1"/>
  <c r="P51" i="43"/>
  <c r="P53" i="43"/>
  <c r="N55" i="43"/>
  <c r="O55" i="43" s="1"/>
  <c r="N57" i="43"/>
  <c r="O57" i="43" s="1"/>
  <c r="P58" i="43"/>
  <c r="P60" i="43"/>
  <c r="N66" i="43"/>
  <c r="O66" i="43" s="1"/>
  <c r="P67" i="43"/>
  <c r="N69" i="43"/>
  <c r="O69" i="43" s="1"/>
  <c r="P70" i="43"/>
  <c r="N74" i="43"/>
  <c r="O74" i="43" s="1"/>
  <c r="C6" i="43"/>
  <c r="L4" i="43"/>
  <c r="J32" i="43"/>
  <c r="F6" i="43"/>
  <c r="D8" i="43"/>
  <c r="J21" i="43"/>
  <c r="G41" i="43"/>
  <c r="J43" i="43"/>
  <c r="G26" i="43"/>
  <c r="J28" i="43"/>
  <c r="G37" i="43"/>
  <c r="G39" i="43"/>
  <c r="G40" i="43"/>
  <c r="J42" i="43"/>
  <c r="J73" i="43"/>
  <c r="I72" i="43"/>
  <c r="J69" i="43"/>
  <c r="I68" i="43"/>
  <c r="J65" i="43"/>
  <c r="I64" i="43"/>
  <c r="J58" i="43"/>
  <c r="I57" i="43"/>
  <c r="J54" i="43"/>
  <c r="I53" i="43"/>
  <c r="J74" i="43"/>
  <c r="I73" i="43"/>
  <c r="J70" i="43"/>
  <c r="I69" i="43"/>
  <c r="J66" i="43"/>
  <c r="I65" i="43"/>
  <c r="J59" i="43"/>
  <c r="I58" i="43"/>
  <c r="J55" i="43"/>
  <c r="I54" i="43"/>
  <c r="I74" i="43"/>
  <c r="J67" i="43"/>
  <c r="I66" i="43"/>
  <c r="J56" i="43"/>
  <c r="I55" i="43"/>
  <c r="J52" i="43"/>
  <c r="J51" i="43"/>
  <c r="I50" i="43"/>
  <c r="G46" i="43"/>
  <c r="J44" i="43"/>
  <c r="G42" i="43"/>
  <c r="J40" i="43"/>
  <c r="G38" i="43"/>
  <c r="J68" i="43"/>
  <c r="I67" i="43"/>
  <c r="J57" i="43"/>
  <c r="I56" i="43"/>
  <c r="J53" i="43"/>
  <c r="I52" i="43"/>
  <c r="I51" i="43"/>
  <c r="J45" i="43"/>
  <c r="G43" i="43"/>
  <c r="J41" i="43"/>
  <c r="J63" i="43"/>
  <c r="J49" i="43"/>
  <c r="J46" i="43"/>
  <c r="G44" i="43"/>
  <c r="J38" i="43"/>
  <c r="J37" i="43"/>
  <c r="G35" i="43"/>
  <c r="G32" i="43"/>
  <c r="J30" i="43"/>
  <c r="G28" i="43"/>
  <c r="J26" i="43"/>
  <c r="G24" i="43"/>
  <c r="J22" i="43"/>
  <c r="J71" i="43"/>
  <c r="I70" i="43"/>
  <c r="J60" i="43"/>
  <c r="I59" i="43"/>
  <c r="J64" i="43"/>
  <c r="I63" i="43"/>
  <c r="J50" i="43"/>
  <c r="I49" i="43"/>
  <c r="G45" i="43"/>
  <c r="J39" i="43"/>
  <c r="G36" i="43"/>
  <c r="J31" i="43"/>
  <c r="G29" i="43"/>
  <c r="J27" i="43"/>
  <c r="G25" i="43"/>
  <c r="J23" i="43"/>
  <c r="G21" i="43"/>
  <c r="G22" i="43"/>
  <c r="J24" i="43"/>
  <c r="G30" i="43"/>
  <c r="J35" i="43"/>
  <c r="J72" i="43"/>
  <c r="G27" i="43"/>
  <c r="J29" i="43"/>
  <c r="G23" i="43"/>
  <c r="J25" i="43"/>
  <c r="G31" i="43"/>
  <c r="J36" i="43"/>
  <c r="I71" i="43"/>
  <c r="C6" i="41"/>
  <c r="C7" i="41" s="1"/>
  <c r="E7" i="41" s="1"/>
  <c r="G7" i="41" s="1"/>
  <c r="J7" i="41" s="1"/>
  <c r="L4" i="41"/>
  <c r="N65" i="41" s="1"/>
  <c r="D11" i="41"/>
  <c r="L7" i="45" l="1"/>
  <c r="L9" i="45" s="1"/>
  <c r="L8" i="45"/>
  <c r="H6" i="45"/>
  <c r="H7" i="45" s="1"/>
  <c r="H8" i="45" s="1"/>
  <c r="L5" i="45"/>
  <c r="K8" i="45"/>
  <c r="K7" i="45"/>
  <c r="D9" i="43"/>
  <c r="C7" i="43"/>
  <c r="N51" i="41"/>
  <c r="O51" i="41" s="1"/>
  <c r="S51" i="41" s="1"/>
  <c r="N45" i="41"/>
  <c r="O45" i="41" s="1"/>
  <c r="S45" i="41" s="1"/>
  <c r="N22" i="41"/>
  <c r="P22" i="41" s="1"/>
  <c r="N60" i="41"/>
  <c r="P60" i="41" s="1"/>
  <c r="N13" i="41"/>
  <c r="P13" i="41" s="1"/>
  <c r="N30" i="41"/>
  <c r="P30" i="41" s="1"/>
  <c r="N69" i="41"/>
  <c r="N68" i="41"/>
  <c r="O68" i="41" s="1"/>
  <c r="S68" i="41" s="1"/>
  <c r="N27" i="41"/>
  <c r="P27" i="41" s="1"/>
  <c r="N71" i="41"/>
  <c r="P71" i="41" s="1"/>
  <c r="N26" i="41"/>
  <c r="P26" i="41" s="1"/>
  <c r="N44" i="41"/>
  <c r="O44" i="41" s="1"/>
  <c r="S44" i="41" s="1"/>
  <c r="N49" i="41"/>
  <c r="O49" i="41" s="1"/>
  <c r="S49" i="41" s="1"/>
  <c r="N52" i="41"/>
  <c r="P52" i="41" s="1"/>
  <c r="N55" i="41"/>
  <c r="N17" i="41"/>
  <c r="P17" i="41" s="1"/>
  <c r="N59" i="41"/>
  <c r="P59" i="41" s="1"/>
  <c r="N43" i="41"/>
  <c r="O43" i="41" s="1"/>
  <c r="S43" i="41" s="1"/>
  <c r="N64" i="41"/>
  <c r="P65" i="41"/>
  <c r="N37" i="41"/>
  <c r="O37" i="41" s="1"/>
  <c r="S37" i="41" s="1"/>
  <c r="N7" i="41"/>
  <c r="O7" i="41" s="1"/>
  <c r="S7" i="41" s="1"/>
  <c r="N40" i="41"/>
  <c r="P40" i="41" s="1"/>
  <c r="N58" i="41"/>
  <c r="O58" i="41" s="1"/>
  <c r="S58" i="41" s="1"/>
  <c r="N70" i="41"/>
  <c r="O70" i="41" s="1"/>
  <c r="S70" i="41" s="1"/>
  <c r="N39" i="41"/>
  <c r="O39" i="41" s="1"/>
  <c r="S39" i="41" s="1"/>
  <c r="N57" i="41"/>
  <c r="O57" i="41" s="1"/>
  <c r="S57" i="41" s="1"/>
  <c r="N72" i="41"/>
  <c r="O72" i="41" s="1"/>
  <c r="N63" i="41"/>
  <c r="O63" i="41" s="1"/>
  <c r="S63" i="41" s="1"/>
  <c r="N66" i="41"/>
  <c r="P66" i="41" s="1"/>
  <c r="N38" i="41"/>
  <c r="O38" i="41" s="1"/>
  <c r="S38" i="41" s="1"/>
  <c r="N23" i="41"/>
  <c r="P23" i="41" s="1"/>
  <c r="N11" i="41"/>
  <c r="P11" i="41" s="1"/>
  <c r="P68" i="41"/>
  <c r="N36" i="41"/>
  <c r="P36" i="41" s="1"/>
  <c r="N50" i="41"/>
  <c r="O50" i="41" s="1"/>
  <c r="S50" i="41" s="1"/>
  <c r="O60" i="41"/>
  <c r="S60" i="41" s="1"/>
  <c r="N35" i="41"/>
  <c r="O35" i="41" s="1"/>
  <c r="S35" i="41" s="1"/>
  <c r="N53" i="41"/>
  <c r="P53" i="41" s="1"/>
  <c r="O65" i="41"/>
  <c r="S65" i="41" s="1"/>
  <c r="N56" i="41"/>
  <c r="P56" i="41" s="1"/>
  <c r="N67" i="41"/>
  <c r="N46" i="41"/>
  <c r="P46" i="41" s="1"/>
  <c r="N31" i="41"/>
  <c r="P31" i="41" s="1"/>
  <c r="N15" i="41"/>
  <c r="P15" i="41" s="1"/>
  <c r="N9" i="41"/>
  <c r="P9" i="41" s="1"/>
  <c r="N42" i="41"/>
  <c r="P42" i="41" s="1"/>
  <c r="N73" i="41"/>
  <c r="N25" i="41"/>
  <c r="P25" i="41" s="1"/>
  <c r="N32" i="41"/>
  <c r="N24" i="41"/>
  <c r="N14" i="41"/>
  <c r="P14" i="41" s="1"/>
  <c r="N8" i="41"/>
  <c r="O8" i="41" s="1"/>
  <c r="S8" i="41" s="1"/>
  <c r="N74" i="41"/>
  <c r="O74" i="41" s="1"/>
  <c r="N29" i="41"/>
  <c r="N21" i="41"/>
  <c r="P21" i="41" s="1"/>
  <c r="N12" i="41"/>
  <c r="O12" i="41" s="1"/>
  <c r="S12" i="41" s="1"/>
  <c r="M4" i="41"/>
  <c r="N41" i="41"/>
  <c r="N16" i="41"/>
  <c r="O16" i="41" s="1"/>
  <c r="S16" i="41" s="1"/>
  <c r="Q7" i="41"/>
  <c r="N54" i="41"/>
  <c r="N28" i="41"/>
  <c r="N18" i="41"/>
  <c r="N10" i="41"/>
  <c r="P10" i="41" s="1"/>
  <c r="F7" i="41"/>
  <c r="K7" i="41" s="1"/>
  <c r="O9" i="41"/>
  <c r="S9" i="41" s="1"/>
  <c r="O52" i="41"/>
  <c r="S52" i="41" s="1"/>
  <c r="P57" i="41"/>
  <c r="P44" i="41"/>
  <c r="P67" i="41"/>
  <c r="O67" i="41"/>
  <c r="S67" i="41" s="1"/>
  <c r="P43" i="41"/>
  <c r="D12" i="41"/>
  <c r="O26" i="41" l="1"/>
  <c r="S26" i="41" s="1"/>
  <c r="P51" i="41"/>
  <c r="O36" i="41"/>
  <c r="S36" i="41" s="1"/>
  <c r="P38" i="41"/>
  <c r="O40" i="41"/>
  <c r="S40" i="41" s="1"/>
  <c r="K9" i="45"/>
  <c r="L10" i="45"/>
  <c r="L12" i="45" s="1"/>
  <c r="L11" i="45"/>
  <c r="H5" i="45"/>
  <c r="H9" i="45" s="1"/>
  <c r="H10" i="45" s="1"/>
  <c r="I11" i="45" s="1"/>
  <c r="H11" i="45" s="1"/>
  <c r="P70" i="41"/>
  <c r="P49" i="41"/>
  <c r="P7" i="41"/>
  <c r="O13" i="41"/>
  <c r="S13" i="41" s="1"/>
  <c r="P45" i="41"/>
  <c r="P58" i="41"/>
  <c r="O53" i="41"/>
  <c r="S53" i="41" s="1"/>
  <c r="P50" i="41"/>
  <c r="O59" i="41"/>
  <c r="S59" i="41" s="1"/>
  <c r="O27" i="41"/>
  <c r="S27" i="41" s="1"/>
  <c r="S72" i="41"/>
  <c r="P64" i="41"/>
  <c r="O64" i="41"/>
  <c r="S64" i="41" s="1"/>
  <c r="O69" i="41"/>
  <c r="S69" i="41" s="1"/>
  <c r="P69" i="41"/>
  <c r="P35" i="41"/>
  <c r="O56" i="41"/>
  <c r="S56" i="41" s="1"/>
  <c r="O22" i="41"/>
  <c r="S22" i="41" s="1"/>
  <c r="N19" i="43"/>
  <c r="J10" i="44" s="1"/>
  <c r="N61" i="43"/>
  <c r="J13" i="44" s="1"/>
  <c r="O75" i="43"/>
  <c r="K14" i="44" s="1"/>
  <c r="D10" i="43"/>
  <c r="E7" i="43"/>
  <c r="N33" i="43"/>
  <c r="J11" i="44" s="1"/>
  <c r="N47" i="43"/>
  <c r="J12" i="44" s="1"/>
  <c r="N75" i="43"/>
  <c r="J14" i="44" s="1"/>
  <c r="O71" i="41"/>
  <c r="S71" i="41" s="1"/>
  <c r="O15" i="41"/>
  <c r="S15" i="41" s="1"/>
  <c r="O66" i="41"/>
  <c r="S66" i="41" s="1"/>
  <c r="O17" i="41"/>
  <c r="S17" i="41" s="1"/>
  <c r="O23" i="41"/>
  <c r="S23" i="41" s="1"/>
  <c r="P63" i="41"/>
  <c r="O30" i="41"/>
  <c r="S30" i="41" s="1"/>
  <c r="O11" i="41"/>
  <c r="S11" i="41" s="1"/>
  <c r="P39" i="41"/>
  <c r="P72" i="41"/>
  <c r="P16" i="41"/>
  <c r="O31" i="41"/>
  <c r="S31" i="41" s="1"/>
  <c r="O46" i="41"/>
  <c r="S46" i="41" s="1"/>
  <c r="P37" i="41"/>
  <c r="O55" i="41"/>
  <c r="S55" i="41" s="1"/>
  <c r="P55" i="41"/>
  <c r="N47" i="41"/>
  <c r="N75" i="41"/>
  <c r="N61" i="41"/>
  <c r="C8" i="41"/>
  <c r="E8" i="41" s="1"/>
  <c r="N19" i="41"/>
  <c r="O21" i="41"/>
  <c r="S21" i="41" s="1"/>
  <c r="O42" i="41"/>
  <c r="S42" i="41" s="1"/>
  <c r="N33" i="41"/>
  <c r="O18" i="41"/>
  <c r="S18" i="41" s="1"/>
  <c r="P18" i="41"/>
  <c r="O73" i="41"/>
  <c r="S73" i="41" s="1"/>
  <c r="P73" i="41"/>
  <c r="O14" i="41"/>
  <c r="S14" i="41" s="1"/>
  <c r="P8" i="41"/>
  <c r="P28" i="41"/>
  <c r="O28" i="41"/>
  <c r="S28" i="41" s="1"/>
  <c r="P41" i="41"/>
  <c r="O41" i="41"/>
  <c r="S41" i="41" s="1"/>
  <c r="O29" i="41"/>
  <c r="S29" i="41" s="1"/>
  <c r="P29" i="41"/>
  <c r="O24" i="41"/>
  <c r="S24" i="41" s="1"/>
  <c r="P24" i="41"/>
  <c r="O10" i="41"/>
  <c r="S10" i="41" s="1"/>
  <c r="P12" i="41"/>
  <c r="P54" i="41"/>
  <c r="O54" i="41"/>
  <c r="S54" i="41" s="1"/>
  <c r="S74" i="41"/>
  <c r="P74" i="41"/>
  <c r="P32" i="41"/>
  <c r="O32" i="41"/>
  <c r="S32" i="41" s="1"/>
  <c r="O25" i="41"/>
  <c r="S25" i="41" s="1"/>
  <c r="D13" i="41"/>
  <c r="R7" i="41"/>
  <c r="J14" i="42" l="1"/>
  <c r="J10" i="42"/>
  <c r="J15" i="44"/>
  <c r="J12" i="42"/>
  <c r="J13" i="42"/>
  <c r="J15" i="42" s="1"/>
  <c r="J11" i="42"/>
  <c r="O76" i="43"/>
  <c r="L14" i="44" s="1"/>
  <c r="O47" i="43"/>
  <c r="O61" i="43"/>
  <c r="O19" i="43"/>
  <c r="N76" i="43"/>
  <c r="G7" i="43"/>
  <c r="J7" i="43" s="1"/>
  <c r="F7" i="43"/>
  <c r="S75" i="41"/>
  <c r="S76" i="41" s="1"/>
  <c r="S61" i="41"/>
  <c r="K13" i="42" s="1"/>
  <c r="O33" i="43"/>
  <c r="D11" i="43"/>
  <c r="P61" i="41"/>
  <c r="P47" i="41"/>
  <c r="P19" i="41"/>
  <c r="P75" i="41"/>
  <c r="S19" i="41"/>
  <c r="S47" i="41"/>
  <c r="S33" i="41"/>
  <c r="P33" i="41"/>
  <c r="G8" i="41"/>
  <c r="J8" i="41" s="1"/>
  <c r="F8" i="41"/>
  <c r="T7" i="41"/>
  <c r="Q8" i="41"/>
  <c r="R8" i="41" s="1"/>
  <c r="D14" i="41"/>
  <c r="N62" i="41" l="1"/>
  <c r="N76" i="41"/>
  <c r="O48" i="43"/>
  <c r="L12" i="44" s="1"/>
  <c r="K12" i="44"/>
  <c r="O34" i="43"/>
  <c r="L11" i="44" s="1"/>
  <c r="K11" i="44"/>
  <c r="O20" i="43"/>
  <c r="L10" i="44" s="1"/>
  <c r="K10" i="44"/>
  <c r="O62" i="43"/>
  <c r="L13" i="44" s="1"/>
  <c r="K13" i="44"/>
  <c r="N62" i="43"/>
  <c r="S62" i="41"/>
  <c r="N48" i="43"/>
  <c r="K15" i="44"/>
  <c r="K14" i="42"/>
  <c r="L14" i="42"/>
  <c r="N34" i="43"/>
  <c r="D12" i="43"/>
  <c r="N20" i="43"/>
  <c r="K7" i="43"/>
  <c r="C8" i="43"/>
  <c r="S20" i="41"/>
  <c r="K10" i="42"/>
  <c r="S34" i="41"/>
  <c r="K11" i="42"/>
  <c r="N20" i="41"/>
  <c r="S48" i="41"/>
  <c r="K12" i="42"/>
  <c r="N48" i="41"/>
  <c r="N34" i="41"/>
  <c r="Q9" i="41"/>
  <c r="R9" i="41" s="1"/>
  <c r="T8" i="41"/>
  <c r="D15" i="41"/>
  <c r="K8" i="41"/>
  <c r="C9" i="41"/>
  <c r="L11" i="42" l="1"/>
  <c r="L12" i="42"/>
  <c r="L10" i="42"/>
  <c r="L13" i="42"/>
  <c r="D13" i="43"/>
  <c r="E8" i="43"/>
  <c r="K15" i="42"/>
  <c r="D16" i="41"/>
  <c r="E9" i="41"/>
  <c r="T9" i="41"/>
  <c r="Q10" i="41"/>
  <c r="R10" i="41" s="1"/>
  <c r="L15" i="42" l="1"/>
  <c r="L15" i="44"/>
  <c r="G8" i="43"/>
  <c r="J8" i="43" s="1"/>
  <c r="F8" i="43"/>
  <c r="D14" i="43"/>
  <c r="G9" i="41"/>
  <c r="J9" i="41" s="1"/>
  <c r="F9" i="41"/>
  <c r="Q11" i="41"/>
  <c r="R11" i="41" s="1"/>
  <c r="T10" i="41"/>
  <c r="D17" i="41"/>
  <c r="K8" i="43" l="1"/>
  <c r="C9" i="43"/>
  <c r="D15" i="43"/>
  <c r="T11" i="41"/>
  <c r="Q12" i="41"/>
  <c r="R12" i="41" s="1"/>
  <c r="D18" i="41"/>
  <c r="K9" i="41"/>
  <c r="C10" i="41"/>
  <c r="E9" i="43" l="1"/>
  <c r="D16" i="43"/>
  <c r="E10" i="41"/>
  <c r="D21" i="41"/>
  <c r="Q13" i="41"/>
  <c r="R13" i="41" s="1"/>
  <c r="T12" i="41"/>
  <c r="D17" i="43" l="1"/>
  <c r="G9" i="43"/>
  <c r="J9" i="43" s="1"/>
  <c r="F9" i="43"/>
  <c r="D22" i="41"/>
  <c r="T13" i="41"/>
  <c r="Q14" i="41"/>
  <c r="R14" i="41" s="1"/>
  <c r="G10" i="41"/>
  <c r="J10" i="41" s="1"/>
  <c r="F10" i="41"/>
  <c r="K9" i="43" l="1"/>
  <c r="C10" i="43"/>
  <c r="D18" i="43"/>
  <c r="Q15" i="41"/>
  <c r="R15" i="41" s="1"/>
  <c r="T14" i="41"/>
  <c r="D23" i="41"/>
  <c r="K10" i="41"/>
  <c r="C11" i="41"/>
  <c r="D21" i="43" l="1"/>
  <c r="E10" i="43"/>
  <c r="D24" i="41"/>
  <c r="E11" i="41"/>
  <c r="T15" i="41"/>
  <c r="Q16" i="41"/>
  <c r="R16" i="41" s="1"/>
  <c r="G10" i="43" l="1"/>
  <c r="J10" i="43" s="1"/>
  <c r="F10" i="43"/>
  <c r="D22" i="43"/>
  <c r="G11" i="41"/>
  <c r="J11" i="41" s="1"/>
  <c r="F11" i="41"/>
  <c r="D25" i="41"/>
  <c r="Q17" i="41"/>
  <c r="R17" i="41" s="1"/>
  <c r="T16" i="41"/>
  <c r="K10" i="43" l="1"/>
  <c r="C11" i="43"/>
  <c r="D23" i="43"/>
  <c r="D26" i="41"/>
  <c r="K11" i="41"/>
  <c r="C12" i="41"/>
  <c r="T17" i="41"/>
  <c r="Q18" i="41"/>
  <c r="R18" i="41" s="1"/>
  <c r="D24" i="43" l="1"/>
  <c r="E11" i="43"/>
  <c r="Q21" i="41"/>
  <c r="R21" i="41" s="1"/>
  <c r="T18" i="41"/>
  <c r="D27" i="41"/>
  <c r="E12" i="41"/>
  <c r="G11" i="43" l="1"/>
  <c r="J11" i="43" s="1"/>
  <c r="F11" i="43"/>
  <c r="D25" i="43"/>
  <c r="D28" i="41"/>
  <c r="G12" i="41"/>
  <c r="J12" i="41" s="1"/>
  <c r="F12" i="41"/>
  <c r="T21" i="41"/>
  <c r="Q22" i="41"/>
  <c r="R22" i="41" s="1"/>
  <c r="K11" i="43" l="1"/>
  <c r="C12" i="43"/>
  <c r="D26" i="43"/>
  <c r="Q23" i="41"/>
  <c r="R23" i="41" s="1"/>
  <c r="T22" i="41"/>
  <c r="K12" i="41"/>
  <c r="C13" i="41"/>
  <c r="D29" i="41"/>
  <c r="D27" i="43" l="1"/>
  <c r="E12" i="43"/>
  <c r="D30" i="41"/>
  <c r="E13" i="41"/>
  <c r="Q24" i="41"/>
  <c r="R24" i="41" s="1"/>
  <c r="T23" i="41"/>
  <c r="G12" i="43" l="1"/>
  <c r="J12" i="43" s="1"/>
  <c r="F12" i="43"/>
  <c r="D28" i="43"/>
  <c r="G13" i="41"/>
  <c r="J13" i="41" s="1"/>
  <c r="F13" i="41"/>
  <c r="D31" i="41"/>
  <c r="Q25" i="41"/>
  <c r="R25" i="41" s="1"/>
  <c r="T24" i="41"/>
  <c r="D29" i="43" l="1"/>
  <c r="K12" i="43"/>
  <c r="C13" i="43"/>
  <c r="D32" i="41"/>
  <c r="K13" i="41"/>
  <c r="C14" i="41"/>
  <c r="Q26" i="41"/>
  <c r="R26" i="41" s="1"/>
  <c r="T25" i="41"/>
  <c r="D30" i="43" l="1"/>
  <c r="E13" i="43"/>
  <c r="T26" i="41"/>
  <c r="Q27" i="41"/>
  <c r="R27" i="41" s="1"/>
  <c r="E14" i="41"/>
  <c r="D35" i="41"/>
  <c r="G13" i="43" l="1"/>
  <c r="J13" i="43" s="1"/>
  <c r="F13" i="43"/>
  <c r="D31" i="43"/>
  <c r="G14" i="41"/>
  <c r="J14" i="41" s="1"/>
  <c r="F14" i="41"/>
  <c r="D36" i="41"/>
  <c r="T27" i="41"/>
  <c r="Q28" i="41"/>
  <c r="R28" i="41" s="1"/>
  <c r="K13" i="43" l="1"/>
  <c r="C14" i="43"/>
  <c r="D32" i="43"/>
  <c r="T28" i="41"/>
  <c r="Q29" i="41"/>
  <c r="R29" i="41" s="1"/>
  <c r="K14" i="41"/>
  <c r="C15" i="41"/>
  <c r="D37" i="41"/>
  <c r="D35" i="43" l="1"/>
  <c r="E14" i="43"/>
  <c r="T29" i="41"/>
  <c r="Q30" i="41"/>
  <c r="R30" i="41" s="1"/>
  <c r="D38" i="41"/>
  <c r="E15" i="41"/>
  <c r="G14" i="43" l="1"/>
  <c r="J14" i="43" s="1"/>
  <c r="F14" i="43"/>
  <c r="D36" i="43"/>
  <c r="Q31" i="41"/>
  <c r="R31" i="41" s="1"/>
  <c r="T30" i="41"/>
  <c r="D39" i="41"/>
  <c r="G15" i="41"/>
  <c r="J15" i="41" s="1"/>
  <c r="F15" i="41"/>
  <c r="D37" i="43" l="1"/>
  <c r="K14" i="43"/>
  <c r="C15" i="43"/>
  <c r="D40" i="41"/>
  <c r="K15" i="41"/>
  <c r="C16" i="41"/>
  <c r="T31" i="41"/>
  <c r="Q32" i="41"/>
  <c r="R32" i="41" s="1"/>
  <c r="E15" i="43" l="1"/>
  <c r="D38" i="43"/>
  <c r="T32" i="41"/>
  <c r="Q35" i="41"/>
  <c r="R35" i="41" s="1"/>
  <c r="E16" i="41"/>
  <c r="D41" i="41"/>
  <c r="G15" i="43" l="1"/>
  <c r="J15" i="43" s="1"/>
  <c r="F15" i="43"/>
  <c r="D39" i="43"/>
  <c r="G16" i="41"/>
  <c r="J16" i="41" s="1"/>
  <c r="F16" i="41"/>
  <c r="T35" i="41"/>
  <c r="Q36" i="41"/>
  <c r="R36" i="41" s="1"/>
  <c r="D42" i="41"/>
  <c r="K15" i="43" l="1"/>
  <c r="C16" i="43"/>
  <c r="D40" i="43"/>
  <c r="T36" i="41"/>
  <c r="Q37" i="41"/>
  <c r="R37" i="41" s="1"/>
  <c r="D43" i="41"/>
  <c r="K16" i="41"/>
  <c r="C17" i="41"/>
  <c r="E16" i="43" l="1"/>
  <c r="D41" i="43"/>
  <c r="D44" i="41"/>
  <c r="Q38" i="41"/>
  <c r="R38" i="41" s="1"/>
  <c r="T37" i="41"/>
  <c r="E17" i="41"/>
  <c r="D42" i="43" l="1"/>
  <c r="G16" i="43"/>
  <c r="J16" i="43" s="1"/>
  <c r="F16" i="43"/>
  <c r="T38" i="41"/>
  <c r="Q39" i="41"/>
  <c r="R39" i="41" s="1"/>
  <c r="G17" i="41"/>
  <c r="J17" i="41" s="1"/>
  <c r="F17" i="41"/>
  <c r="D45" i="41"/>
  <c r="K16" i="43" l="1"/>
  <c r="C17" i="43"/>
  <c r="D43" i="43"/>
  <c r="K17" i="41"/>
  <c r="C18" i="41"/>
  <c r="Q40" i="41"/>
  <c r="R40" i="41" s="1"/>
  <c r="T39" i="41"/>
  <c r="D46" i="41"/>
  <c r="D44" i="43" l="1"/>
  <c r="E17" i="43"/>
  <c r="Q41" i="41"/>
  <c r="R41" i="41" s="1"/>
  <c r="T40" i="41"/>
  <c r="D49" i="41"/>
  <c r="E18" i="41"/>
  <c r="C19" i="41"/>
  <c r="C10" i="42" l="1"/>
  <c r="G17" i="43"/>
  <c r="J17" i="43" s="1"/>
  <c r="F17" i="43"/>
  <c r="D45" i="43"/>
  <c r="D50" i="41"/>
  <c r="G18" i="41"/>
  <c r="J18" i="41" s="1"/>
  <c r="J19" i="41" s="1"/>
  <c r="F18" i="41"/>
  <c r="T41" i="41"/>
  <c r="Q42" i="41"/>
  <c r="R42" i="41" s="1"/>
  <c r="D46" i="43" l="1"/>
  <c r="K17" i="43"/>
  <c r="C18" i="43"/>
  <c r="J20" i="41"/>
  <c r="D10" i="42"/>
  <c r="F10" i="42" s="1"/>
  <c r="Q43" i="41"/>
  <c r="R43" i="41" s="1"/>
  <c r="T42" i="41"/>
  <c r="C20" i="41"/>
  <c r="K18" i="41"/>
  <c r="C21" i="41"/>
  <c r="D51" i="41"/>
  <c r="G10" i="42" l="1"/>
  <c r="D49" i="43"/>
  <c r="E18" i="43"/>
  <c r="C19" i="43"/>
  <c r="C10" i="44" s="1"/>
  <c r="D52" i="41"/>
  <c r="E21" i="41"/>
  <c r="G21" i="41" s="1"/>
  <c r="J21" i="41" s="1"/>
  <c r="T43" i="41"/>
  <c r="Q44" i="41"/>
  <c r="R44" i="41" s="1"/>
  <c r="G18" i="43" l="1"/>
  <c r="J18" i="43" s="1"/>
  <c r="J19" i="43" s="1"/>
  <c r="F18" i="43"/>
  <c r="D50" i="43"/>
  <c r="T44" i="41"/>
  <c r="Q45" i="41"/>
  <c r="R45" i="41" s="1"/>
  <c r="D53" i="41"/>
  <c r="H21" i="41"/>
  <c r="F21" i="41"/>
  <c r="J20" i="43" l="1"/>
  <c r="G10" i="44" s="1"/>
  <c r="D10" i="44"/>
  <c r="F10" i="44" s="1"/>
  <c r="C20" i="43"/>
  <c r="K18" i="43"/>
  <c r="C21" i="43"/>
  <c r="D51" i="43"/>
  <c r="D54" i="41"/>
  <c r="K21" i="41"/>
  <c r="C22" i="41"/>
  <c r="Q46" i="41"/>
  <c r="R46" i="41" s="1"/>
  <c r="T45" i="41"/>
  <c r="D52" i="43" l="1"/>
  <c r="E21" i="43"/>
  <c r="Q49" i="41"/>
  <c r="R49" i="41" s="1"/>
  <c r="T46" i="41"/>
  <c r="E22" i="41"/>
  <c r="G22" i="41" s="1"/>
  <c r="J22" i="41" s="1"/>
  <c r="D55" i="41"/>
  <c r="D53" i="43" l="1"/>
  <c r="H21" i="43"/>
  <c r="F21" i="43"/>
  <c r="D56" i="41"/>
  <c r="H22" i="41"/>
  <c r="F22" i="41"/>
  <c r="Q50" i="41"/>
  <c r="R50" i="41" s="1"/>
  <c r="T49" i="41"/>
  <c r="K21" i="43" l="1"/>
  <c r="C22" i="43"/>
  <c r="D54" i="43"/>
  <c r="D57" i="41"/>
  <c r="K22" i="41"/>
  <c r="C23" i="41"/>
  <c r="Q51" i="41"/>
  <c r="R51" i="41" s="1"/>
  <c r="T50" i="41"/>
  <c r="E22" i="43" l="1"/>
  <c r="D55" i="43"/>
  <c r="Q52" i="41"/>
  <c r="R52" i="41" s="1"/>
  <c r="T51" i="41"/>
  <c r="E23" i="41"/>
  <c r="G23" i="41" s="1"/>
  <c r="J23" i="41" s="1"/>
  <c r="D58" i="41"/>
  <c r="D56" i="43" l="1"/>
  <c r="H22" i="43"/>
  <c r="F22" i="43"/>
  <c r="D59" i="41"/>
  <c r="H23" i="41"/>
  <c r="F23" i="41"/>
  <c r="T52" i="41"/>
  <c r="Q53" i="41"/>
  <c r="R53" i="41" s="1"/>
  <c r="K22" i="43" l="1"/>
  <c r="C23" i="43"/>
  <c r="D57" i="43"/>
  <c r="Q54" i="41"/>
  <c r="R54" i="41" s="1"/>
  <c r="T53" i="41"/>
  <c r="K23" i="41"/>
  <c r="C24" i="41"/>
  <c r="D60" i="41"/>
  <c r="D58" i="43" l="1"/>
  <c r="E23" i="43"/>
  <c r="D63" i="41"/>
  <c r="Q55" i="41"/>
  <c r="R55" i="41" s="1"/>
  <c r="T54" i="41"/>
  <c r="E24" i="41"/>
  <c r="G24" i="41" s="1"/>
  <c r="J24" i="41" s="1"/>
  <c r="H23" i="43" l="1"/>
  <c r="F23" i="43"/>
  <c r="D59" i="43"/>
  <c r="Q56" i="41"/>
  <c r="R56" i="41" s="1"/>
  <c r="T55" i="41"/>
  <c r="D64" i="41"/>
  <c r="H24" i="41"/>
  <c r="F24" i="41"/>
  <c r="K23" i="43" l="1"/>
  <c r="C24" i="43"/>
  <c r="D60" i="43"/>
  <c r="D65" i="41"/>
  <c r="K24" i="41"/>
  <c r="C25" i="41"/>
  <c r="T56" i="41"/>
  <c r="Q57" i="41"/>
  <c r="R57" i="41" s="1"/>
  <c r="D63" i="43" l="1"/>
  <c r="E24" i="43"/>
  <c r="T57" i="41"/>
  <c r="Q58" i="41"/>
  <c r="R58" i="41" s="1"/>
  <c r="E25" i="41"/>
  <c r="G25" i="41" s="1"/>
  <c r="J25" i="41" s="1"/>
  <c r="D66" i="41"/>
  <c r="H24" i="43" l="1"/>
  <c r="F24" i="43"/>
  <c r="D64" i="43"/>
  <c r="D67" i="41"/>
  <c r="Q59" i="41"/>
  <c r="R59" i="41" s="1"/>
  <c r="T58" i="41"/>
  <c r="H25" i="41"/>
  <c r="F25" i="41"/>
  <c r="K24" i="43" l="1"/>
  <c r="C25" i="43"/>
  <c r="D65" i="43"/>
  <c r="Q60" i="41"/>
  <c r="R60" i="41" s="1"/>
  <c r="T59" i="41"/>
  <c r="K25" i="41"/>
  <c r="C26" i="41"/>
  <c r="D68" i="41"/>
  <c r="E25" i="43" l="1"/>
  <c r="D66" i="43"/>
  <c r="D69" i="41"/>
  <c r="E26" i="41"/>
  <c r="G26" i="41" s="1"/>
  <c r="J26" i="41" s="1"/>
  <c r="Q63" i="41"/>
  <c r="R63" i="41" s="1"/>
  <c r="T60" i="41"/>
  <c r="D67" i="43" l="1"/>
  <c r="H25" i="43"/>
  <c r="F25" i="43"/>
  <c r="H26" i="41"/>
  <c r="F26" i="41"/>
  <c r="T63" i="41"/>
  <c r="Q64" i="41"/>
  <c r="R64" i="41" s="1"/>
  <c r="D70" i="41"/>
  <c r="D68" i="43" l="1"/>
  <c r="K25" i="43"/>
  <c r="C26" i="43"/>
  <c r="Q65" i="41"/>
  <c r="R65" i="41" s="1"/>
  <c r="T64" i="41"/>
  <c r="K26" i="41"/>
  <c r="C27" i="41"/>
  <c r="D71" i="41"/>
  <c r="E26" i="43" l="1"/>
  <c r="D69" i="43"/>
  <c r="D72" i="41"/>
  <c r="E27" i="41"/>
  <c r="G27" i="41" s="1"/>
  <c r="J27" i="41" s="1"/>
  <c r="Q66" i="41"/>
  <c r="R66" i="41" s="1"/>
  <c r="T65" i="41"/>
  <c r="D70" i="43" l="1"/>
  <c r="H26" i="43"/>
  <c r="F26" i="43"/>
  <c r="H27" i="41"/>
  <c r="F27" i="41"/>
  <c r="Q67" i="41"/>
  <c r="R67" i="41" s="1"/>
  <c r="T66" i="41"/>
  <c r="D73" i="41"/>
  <c r="D71" i="43" l="1"/>
  <c r="K26" i="43"/>
  <c r="C27" i="43"/>
  <c r="T67" i="41"/>
  <c r="Q68" i="41"/>
  <c r="R68" i="41" s="1"/>
  <c r="K27" i="41"/>
  <c r="C28" i="41"/>
  <c r="D74" i="41"/>
  <c r="D72" i="43" l="1"/>
  <c r="E27" i="43"/>
  <c r="E28" i="41"/>
  <c r="G28" i="41" s="1"/>
  <c r="J28" i="41" s="1"/>
  <c r="T68" i="41"/>
  <c r="Q69" i="41"/>
  <c r="R69" i="41" s="1"/>
  <c r="D73" i="43" l="1"/>
  <c r="H27" i="43"/>
  <c r="F27" i="43"/>
  <c r="H28" i="41"/>
  <c r="F28" i="41"/>
  <c r="Q70" i="41"/>
  <c r="R70" i="41" s="1"/>
  <c r="T69" i="41"/>
  <c r="K27" i="43" l="1"/>
  <c r="C28" i="43"/>
  <c r="D74" i="43"/>
  <c r="T70" i="41"/>
  <c r="Q71" i="41"/>
  <c r="R71" i="41" s="1"/>
  <c r="K28" i="41"/>
  <c r="C29" i="41"/>
  <c r="E28" i="43" l="1"/>
  <c r="E29" i="41"/>
  <c r="G29" i="41" s="1"/>
  <c r="J29" i="41" s="1"/>
  <c r="Q72" i="41"/>
  <c r="R72" i="41" s="1"/>
  <c r="T71" i="41"/>
  <c r="H28" i="43" l="1"/>
  <c r="F28" i="43"/>
  <c r="T72" i="41"/>
  <c r="Q73" i="41"/>
  <c r="R73" i="41" s="1"/>
  <c r="H29" i="41"/>
  <c r="F29" i="41"/>
  <c r="K28" i="43" l="1"/>
  <c r="C29" i="43"/>
  <c r="K29" i="41"/>
  <c r="C30" i="41"/>
  <c r="T73" i="41"/>
  <c r="Q74" i="41"/>
  <c r="R74" i="41" s="1"/>
  <c r="T74" i="41" s="1"/>
  <c r="K16" i="42" l="1"/>
  <c r="E29" i="43"/>
  <c r="E30" i="41"/>
  <c r="G30" i="41" s="1"/>
  <c r="J30" i="41" s="1"/>
  <c r="H29" i="43" l="1"/>
  <c r="F29" i="43"/>
  <c r="H30" i="41"/>
  <c r="F30" i="41"/>
  <c r="K29" i="43" l="1"/>
  <c r="C30" i="43"/>
  <c r="K30" i="41"/>
  <c r="C31" i="41"/>
  <c r="E30" i="43" l="1"/>
  <c r="E31" i="41"/>
  <c r="G31" i="41" s="1"/>
  <c r="J31" i="41" s="1"/>
  <c r="H30" i="43" l="1"/>
  <c r="F30" i="43"/>
  <c r="H31" i="41"/>
  <c r="F31" i="41"/>
  <c r="K30" i="43" l="1"/>
  <c r="C31" i="43"/>
  <c r="K31" i="41"/>
  <c r="C32" i="41"/>
  <c r="E31" i="43" l="1"/>
  <c r="E32" i="41"/>
  <c r="G32" i="41" s="1"/>
  <c r="J32" i="41" s="1"/>
  <c r="C33" i="41"/>
  <c r="C11" i="42" l="1"/>
  <c r="H31" i="43"/>
  <c r="F31" i="43"/>
  <c r="H32" i="41"/>
  <c r="J33" i="41" s="1"/>
  <c r="F32" i="41"/>
  <c r="K31" i="43" l="1"/>
  <c r="C32" i="43"/>
  <c r="J34" i="41"/>
  <c r="E11" i="42"/>
  <c r="F11" i="42" s="1"/>
  <c r="K32" i="41"/>
  <c r="C35" i="41"/>
  <c r="C34" i="41"/>
  <c r="G11" i="42" l="1"/>
  <c r="E32" i="43"/>
  <c r="C33" i="43"/>
  <c r="C11" i="44" s="1"/>
  <c r="E35" i="41"/>
  <c r="G35" i="41" s="1"/>
  <c r="J35" i="41" s="1"/>
  <c r="H32" i="43" l="1"/>
  <c r="J33" i="43" s="1"/>
  <c r="F32" i="43"/>
  <c r="H35" i="41"/>
  <c r="F35" i="41"/>
  <c r="J34" i="43" l="1"/>
  <c r="G11" i="44" s="1"/>
  <c r="E11" i="44"/>
  <c r="F11" i="44" s="1"/>
  <c r="K32" i="43"/>
  <c r="C35" i="43"/>
  <c r="C34" i="43"/>
  <c r="K35" i="41"/>
  <c r="C36" i="41"/>
  <c r="E35" i="43" l="1"/>
  <c r="E36" i="41"/>
  <c r="G36" i="41" s="1"/>
  <c r="J36" i="41" s="1"/>
  <c r="H35" i="43" l="1"/>
  <c r="F35" i="43"/>
  <c r="H36" i="41"/>
  <c r="F36" i="41"/>
  <c r="K35" i="43" l="1"/>
  <c r="C36" i="43"/>
  <c r="K36" i="41"/>
  <c r="C37" i="41"/>
  <c r="E36" i="43" l="1"/>
  <c r="E37" i="41"/>
  <c r="G37" i="41" s="1"/>
  <c r="J37" i="41" s="1"/>
  <c r="H36" i="43" l="1"/>
  <c r="F36" i="43"/>
  <c r="H37" i="41"/>
  <c r="F37" i="41"/>
  <c r="K36" i="43" l="1"/>
  <c r="C37" i="43"/>
  <c r="K37" i="41"/>
  <c r="C38" i="41"/>
  <c r="E37" i="43" l="1"/>
  <c r="E38" i="41"/>
  <c r="G38" i="41" s="1"/>
  <c r="J38" i="41" s="1"/>
  <c r="H37" i="43" l="1"/>
  <c r="F37" i="43"/>
  <c r="H38" i="41"/>
  <c r="F38" i="41"/>
  <c r="K37" i="43" l="1"/>
  <c r="C38" i="43"/>
  <c r="K38" i="41"/>
  <c r="C39" i="41"/>
  <c r="E38" i="43" l="1"/>
  <c r="E39" i="41"/>
  <c r="G39" i="41" s="1"/>
  <c r="J39" i="41" s="1"/>
  <c r="H38" i="43" l="1"/>
  <c r="F38" i="43"/>
  <c r="H39" i="41"/>
  <c r="F39" i="41"/>
  <c r="K38" i="43" l="1"/>
  <c r="C39" i="43"/>
  <c r="K39" i="41"/>
  <c r="C40" i="41"/>
  <c r="E39" i="43" l="1"/>
  <c r="E40" i="41"/>
  <c r="G40" i="41" s="1"/>
  <c r="J40" i="41" s="1"/>
  <c r="H39" i="43" l="1"/>
  <c r="F39" i="43"/>
  <c r="H40" i="41"/>
  <c r="F40" i="41"/>
  <c r="K39" i="43" l="1"/>
  <c r="C40" i="43"/>
  <c r="K40" i="41"/>
  <c r="C41" i="41"/>
  <c r="E40" i="43" l="1"/>
  <c r="E41" i="41"/>
  <c r="G41" i="41" s="1"/>
  <c r="J41" i="41" s="1"/>
  <c r="H40" i="43" l="1"/>
  <c r="F40" i="43"/>
  <c r="H41" i="41"/>
  <c r="F41" i="41"/>
  <c r="K40" i="43" l="1"/>
  <c r="C41" i="43"/>
  <c r="K41" i="41"/>
  <c r="C42" i="41"/>
  <c r="E41" i="43" l="1"/>
  <c r="E42" i="41"/>
  <c r="G42" i="41" s="1"/>
  <c r="J42" i="41" s="1"/>
  <c r="H41" i="43" l="1"/>
  <c r="F41" i="43"/>
  <c r="H42" i="41"/>
  <c r="F42" i="41"/>
  <c r="K41" i="43" l="1"/>
  <c r="C42" i="43"/>
  <c r="K42" i="41"/>
  <c r="C43" i="41"/>
  <c r="E42" i="43" l="1"/>
  <c r="E43" i="41"/>
  <c r="G43" i="41" s="1"/>
  <c r="J43" i="41" s="1"/>
  <c r="H42" i="43" l="1"/>
  <c r="F42" i="43"/>
  <c r="H43" i="41"/>
  <c r="F43" i="41"/>
  <c r="K42" i="43" l="1"/>
  <c r="C43" i="43"/>
  <c r="K43" i="41"/>
  <c r="C44" i="41"/>
  <c r="E43" i="43" l="1"/>
  <c r="E44" i="41"/>
  <c r="G44" i="41" s="1"/>
  <c r="J44" i="41" s="1"/>
  <c r="H43" i="43" l="1"/>
  <c r="F43" i="43"/>
  <c r="H44" i="41"/>
  <c r="F44" i="41"/>
  <c r="K43" i="43" l="1"/>
  <c r="C44" i="43"/>
  <c r="K44" i="41"/>
  <c r="C45" i="41"/>
  <c r="E44" i="43" l="1"/>
  <c r="E45" i="41"/>
  <c r="G45" i="41" s="1"/>
  <c r="J45" i="41" s="1"/>
  <c r="H44" i="43" l="1"/>
  <c r="F44" i="43"/>
  <c r="H45" i="41"/>
  <c r="F45" i="41"/>
  <c r="K44" i="43" l="1"/>
  <c r="C45" i="43"/>
  <c r="K45" i="41"/>
  <c r="C46" i="41"/>
  <c r="E45" i="43" l="1"/>
  <c r="E46" i="41"/>
  <c r="G46" i="41" s="1"/>
  <c r="J46" i="41" s="1"/>
  <c r="C47" i="41"/>
  <c r="C12" i="42" l="1"/>
  <c r="H45" i="43"/>
  <c r="F45" i="43"/>
  <c r="H46" i="41"/>
  <c r="J47" i="41" s="1"/>
  <c r="F46" i="41"/>
  <c r="K45" i="43" l="1"/>
  <c r="C46" i="43"/>
  <c r="J48" i="41"/>
  <c r="E12" i="42"/>
  <c r="F12" i="42" s="1"/>
  <c r="C48" i="41"/>
  <c r="K46" i="41"/>
  <c r="C49" i="41"/>
  <c r="G12" i="42" l="1"/>
  <c r="E46" i="43"/>
  <c r="C47" i="43"/>
  <c r="C12" i="44" s="1"/>
  <c r="E49" i="41"/>
  <c r="I49" i="41" s="1"/>
  <c r="J49" i="41" s="1"/>
  <c r="H46" i="43" l="1"/>
  <c r="J47" i="43" s="1"/>
  <c r="F46" i="43"/>
  <c r="H49" i="41"/>
  <c r="F49" i="41"/>
  <c r="J48" i="43" l="1"/>
  <c r="G12" i="44" s="1"/>
  <c r="E12" i="44"/>
  <c r="F12" i="44" s="1"/>
  <c r="K46" i="43"/>
  <c r="C49" i="43"/>
  <c r="C48" i="43"/>
  <c r="K49" i="41"/>
  <c r="C50" i="41"/>
  <c r="E49" i="43" l="1"/>
  <c r="E50" i="41"/>
  <c r="I50" i="41" s="1"/>
  <c r="J50" i="41" s="1"/>
  <c r="H49" i="43" l="1"/>
  <c r="F49" i="43"/>
  <c r="H50" i="41"/>
  <c r="F50" i="41"/>
  <c r="K49" i="43" l="1"/>
  <c r="C50" i="43"/>
  <c r="K50" i="41"/>
  <c r="C51" i="41"/>
  <c r="E50" i="43" l="1"/>
  <c r="E51" i="41"/>
  <c r="I51" i="41" s="1"/>
  <c r="J51" i="41" s="1"/>
  <c r="H50" i="43" l="1"/>
  <c r="F50" i="43"/>
  <c r="H51" i="41"/>
  <c r="F51" i="41"/>
  <c r="K50" i="43" l="1"/>
  <c r="C51" i="43"/>
  <c r="K51" i="41"/>
  <c r="C52" i="41"/>
  <c r="E51" i="43" l="1"/>
  <c r="E52" i="41"/>
  <c r="I52" i="41" s="1"/>
  <c r="J52" i="41" s="1"/>
  <c r="H51" i="43" l="1"/>
  <c r="F51" i="43"/>
  <c r="H52" i="41"/>
  <c r="F52" i="41"/>
  <c r="K51" i="43" l="1"/>
  <c r="C52" i="43"/>
  <c r="K52" i="41"/>
  <c r="C53" i="41"/>
  <c r="E52" i="43" l="1"/>
  <c r="E53" i="41"/>
  <c r="I53" i="41" s="1"/>
  <c r="J53" i="41" s="1"/>
  <c r="H52" i="43" l="1"/>
  <c r="F52" i="43"/>
  <c r="H53" i="41"/>
  <c r="F53" i="41"/>
  <c r="K52" i="43" l="1"/>
  <c r="C53" i="43"/>
  <c r="K53" i="41"/>
  <c r="C54" i="41"/>
  <c r="E53" i="43" l="1"/>
  <c r="E54" i="41"/>
  <c r="I54" i="41" s="1"/>
  <c r="J54" i="41" s="1"/>
  <c r="H53" i="43" l="1"/>
  <c r="F53" i="43"/>
  <c r="H54" i="41"/>
  <c r="F54" i="41"/>
  <c r="K53" i="43" l="1"/>
  <c r="C54" i="43"/>
  <c r="K54" i="41"/>
  <c r="C55" i="41"/>
  <c r="E54" i="43" l="1"/>
  <c r="E55" i="41"/>
  <c r="I55" i="41" s="1"/>
  <c r="J55" i="41" s="1"/>
  <c r="H54" i="43" l="1"/>
  <c r="F54" i="43"/>
  <c r="H55" i="41"/>
  <c r="F55" i="41"/>
  <c r="K54" i="43" l="1"/>
  <c r="C55" i="43"/>
  <c r="K55" i="41"/>
  <c r="C56" i="41"/>
  <c r="E55" i="43" l="1"/>
  <c r="E56" i="41"/>
  <c r="I56" i="41" s="1"/>
  <c r="J56" i="41" s="1"/>
  <c r="H55" i="43" l="1"/>
  <c r="F55" i="43"/>
  <c r="H56" i="41"/>
  <c r="F56" i="41"/>
  <c r="K55" i="43" l="1"/>
  <c r="C56" i="43"/>
  <c r="K56" i="41"/>
  <c r="C57" i="41"/>
  <c r="E56" i="43" l="1"/>
  <c r="E57" i="41"/>
  <c r="I57" i="41" s="1"/>
  <c r="J57" i="41" s="1"/>
  <c r="H56" i="43" l="1"/>
  <c r="F56" i="43"/>
  <c r="H57" i="41"/>
  <c r="F57" i="41"/>
  <c r="K56" i="43" l="1"/>
  <c r="C57" i="43"/>
  <c r="K57" i="41"/>
  <c r="C58" i="41"/>
  <c r="E57" i="43" l="1"/>
  <c r="E58" i="41"/>
  <c r="I58" i="41" s="1"/>
  <c r="J58" i="41" s="1"/>
  <c r="H57" i="43" l="1"/>
  <c r="F57" i="43"/>
  <c r="H58" i="41"/>
  <c r="F58" i="41"/>
  <c r="K57" i="43" l="1"/>
  <c r="C58" i="43"/>
  <c r="K58" i="41"/>
  <c r="C59" i="41"/>
  <c r="E58" i="43" l="1"/>
  <c r="E59" i="41"/>
  <c r="I59" i="41" s="1"/>
  <c r="J59" i="41" s="1"/>
  <c r="H58" i="43" l="1"/>
  <c r="F58" i="43"/>
  <c r="H59" i="41"/>
  <c r="F59" i="41"/>
  <c r="K58" i="43" l="1"/>
  <c r="C59" i="43"/>
  <c r="K59" i="41"/>
  <c r="C60" i="41"/>
  <c r="E59" i="43" l="1"/>
  <c r="E60" i="41"/>
  <c r="I60" i="41" s="1"/>
  <c r="J60" i="41" s="1"/>
  <c r="C61" i="41"/>
  <c r="C13" i="42" l="1"/>
  <c r="H59" i="43"/>
  <c r="F59" i="43"/>
  <c r="H60" i="41"/>
  <c r="J61" i="41" s="1"/>
  <c r="F60" i="41"/>
  <c r="K59" i="43" l="1"/>
  <c r="C60" i="43"/>
  <c r="J62" i="41"/>
  <c r="E13" i="42"/>
  <c r="F13" i="42" s="1"/>
  <c r="C62" i="41"/>
  <c r="K60" i="41"/>
  <c r="C63" i="41"/>
  <c r="G13" i="42" l="1"/>
  <c r="E60" i="43"/>
  <c r="C61" i="43"/>
  <c r="C13" i="44" s="1"/>
  <c r="E63" i="41"/>
  <c r="I63" i="41" s="1"/>
  <c r="J63" i="41" s="1"/>
  <c r="H60" i="43" l="1"/>
  <c r="J61" i="43" s="1"/>
  <c r="F60" i="43"/>
  <c r="H63" i="41"/>
  <c r="F63" i="41"/>
  <c r="J62" i="43" l="1"/>
  <c r="G13" i="44" s="1"/>
  <c r="E13" i="44"/>
  <c r="F13" i="44" s="1"/>
  <c r="C62" i="43"/>
  <c r="K60" i="43"/>
  <c r="C63" i="43"/>
  <c r="K63" i="41"/>
  <c r="C64" i="41"/>
  <c r="E63" i="43" l="1"/>
  <c r="E64" i="41"/>
  <c r="I64" i="41" s="1"/>
  <c r="J64" i="41" s="1"/>
  <c r="H63" i="43" l="1"/>
  <c r="F63" i="43"/>
  <c r="H64" i="41"/>
  <c r="F64" i="41"/>
  <c r="K63" i="43" l="1"/>
  <c r="C64" i="43"/>
  <c r="K64" i="41"/>
  <c r="C65" i="41"/>
  <c r="E64" i="43" l="1"/>
  <c r="E65" i="41"/>
  <c r="I65" i="41" s="1"/>
  <c r="J65" i="41" s="1"/>
  <c r="H64" i="43" l="1"/>
  <c r="F64" i="43"/>
  <c r="H65" i="41"/>
  <c r="F65" i="41"/>
  <c r="K64" i="43" l="1"/>
  <c r="C65" i="43"/>
  <c r="K65" i="41"/>
  <c r="C66" i="41"/>
  <c r="E65" i="43" l="1"/>
  <c r="E66" i="41"/>
  <c r="I66" i="41" s="1"/>
  <c r="J66" i="41" s="1"/>
  <c r="H65" i="43" l="1"/>
  <c r="F65" i="43"/>
  <c r="H66" i="41"/>
  <c r="F66" i="41"/>
  <c r="K65" i="43" l="1"/>
  <c r="C66" i="43"/>
  <c r="K66" i="41"/>
  <c r="C67" i="41"/>
  <c r="E66" i="43" l="1"/>
  <c r="E67" i="41"/>
  <c r="I67" i="41" s="1"/>
  <c r="J67" i="41" s="1"/>
  <c r="H66" i="43" l="1"/>
  <c r="F66" i="43"/>
  <c r="H67" i="41"/>
  <c r="F67" i="41"/>
  <c r="K66" i="43" l="1"/>
  <c r="C67" i="43"/>
  <c r="K67" i="41"/>
  <c r="C68" i="41"/>
  <c r="E67" i="43" l="1"/>
  <c r="E68" i="41"/>
  <c r="I68" i="41" s="1"/>
  <c r="J68" i="41" s="1"/>
  <c r="H67" i="43" l="1"/>
  <c r="F67" i="43"/>
  <c r="H68" i="41"/>
  <c r="F68" i="41"/>
  <c r="K67" i="43" l="1"/>
  <c r="C68" i="43"/>
  <c r="K68" i="41"/>
  <c r="C69" i="41"/>
  <c r="E68" i="43" l="1"/>
  <c r="E69" i="41"/>
  <c r="I69" i="41" s="1"/>
  <c r="J69" i="41" s="1"/>
  <c r="H68" i="43" l="1"/>
  <c r="F68" i="43"/>
  <c r="H69" i="41"/>
  <c r="F69" i="41"/>
  <c r="K68" i="43" l="1"/>
  <c r="C69" i="43"/>
  <c r="K69" i="41"/>
  <c r="C70" i="41"/>
  <c r="E69" i="43" l="1"/>
  <c r="E70" i="41"/>
  <c r="I70" i="41" s="1"/>
  <c r="J70" i="41" s="1"/>
  <c r="H69" i="43" l="1"/>
  <c r="F69" i="43"/>
  <c r="H70" i="41"/>
  <c r="F70" i="41"/>
  <c r="K69" i="43" l="1"/>
  <c r="C70" i="43"/>
  <c r="K70" i="41"/>
  <c r="C71" i="41"/>
  <c r="E70" i="43" l="1"/>
  <c r="E71" i="41"/>
  <c r="I71" i="41" s="1"/>
  <c r="J71" i="41" s="1"/>
  <c r="H70" i="43" l="1"/>
  <c r="F70" i="43"/>
  <c r="H71" i="41"/>
  <c r="F71" i="41"/>
  <c r="K70" i="43" l="1"/>
  <c r="C71" i="43"/>
  <c r="K71" i="41"/>
  <c r="C72" i="41"/>
  <c r="E71" i="43" l="1"/>
  <c r="E72" i="41"/>
  <c r="I72" i="41" s="1"/>
  <c r="J72" i="41" s="1"/>
  <c r="H71" i="43" l="1"/>
  <c r="F71" i="43"/>
  <c r="H72" i="41"/>
  <c r="F72" i="41"/>
  <c r="K71" i="43" l="1"/>
  <c r="C72" i="43"/>
  <c r="K72" i="41"/>
  <c r="C73" i="41"/>
  <c r="E72" i="43" l="1"/>
  <c r="E73" i="41"/>
  <c r="I73" i="41" s="1"/>
  <c r="J73" i="41" s="1"/>
  <c r="H72" i="43" l="1"/>
  <c r="F72" i="43"/>
  <c r="H73" i="41"/>
  <c r="F73" i="41"/>
  <c r="K72" i="43" l="1"/>
  <c r="C73" i="43"/>
  <c r="K73" i="41"/>
  <c r="C74" i="41"/>
  <c r="E73" i="43" l="1"/>
  <c r="E74" i="41"/>
  <c r="I74" i="41" s="1"/>
  <c r="J74" i="41" s="1"/>
  <c r="G2" i="41"/>
  <c r="K2" i="41" s="1"/>
  <c r="C75" i="41"/>
  <c r="C14" i="42" l="1"/>
  <c r="C15" i="42" s="1"/>
  <c r="H73" i="43"/>
  <c r="F73" i="43"/>
  <c r="H74" i="41"/>
  <c r="J75" i="41" s="1"/>
  <c r="F74" i="41"/>
  <c r="K74" i="41" s="1"/>
  <c r="G4" i="41" s="1"/>
  <c r="D16" i="42" l="1"/>
  <c r="K73" i="43"/>
  <c r="C74" i="43"/>
  <c r="J76" i="41"/>
  <c r="E14" i="42"/>
  <c r="F14" i="42" s="1"/>
  <c r="F15" i="42" s="1"/>
  <c r="C76" i="41"/>
  <c r="G14" i="42" l="1"/>
  <c r="G15" i="42" s="1"/>
  <c r="E74" i="43"/>
  <c r="G2" i="43"/>
  <c r="K2" i="43" s="1"/>
  <c r="C75" i="43"/>
  <c r="C14" i="44" s="1"/>
  <c r="C15" i="44" s="1"/>
  <c r="H74" i="43" l="1"/>
  <c r="J75" i="43" s="1"/>
  <c r="F74" i="43"/>
  <c r="K74" i="43" s="1"/>
  <c r="O4" i="40"/>
  <c r="J17" i="40"/>
  <c r="H17" i="40"/>
  <c r="J16" i="40"/>
  <c r="H16" i="40"/>
  <c r="L17" i="40"/>
  <c r="L16" i="40"/>
  <c r="L15" i="40"/>
  <c r="N5" i="40"/>
  <c r="N6" i="40" s="1"/>
  <c r="O6" i="40" s="1"/>
  <c r="E6" i="38"/>
  <c r="A33" i="39" s="1"/>
  <c r="E6" i="37"/>
  <c r="B32" i="39"/>
  <c r="B31" i="39" s="1"/>
  <c r="B30" i="39" s="1"/>
  <c r="E8" i="38"/>
  <c r="E7" i="38"/>
  <c r="E8" i="37"/>
  <c r="E7" i="37"/>
  <c r="EZ33" i="39"/>
  <c r="EZ32" i="39"/>
  <c r="C10" i="36"/>
  <c r="C9" i="36"/>
  <c r="G4" i="43" l="1"/>
  <c r="D16" i="44"/>
  <c r="J76" i="43"/>
  <c r="G14" i="44" s="1"/>
  <c r="G15" i="44" s="1"/>
  <c r="E14" i="44"/>
  <c r="F14" i="44" s="1"/>
  <c r="F15" i="44" s="1"/>
  <c r="L38" i="39"/>
  <c r="C5" i="40" s="1"/>
  <c r="H15" i="40"/>
  <c r="C76" i="43"/>
  <c r="B29" i="39"/>
  <c r="EZ30" i="39"/>
  <c r="EZ31" i="39"/>
  <c r="C33" i="39"/>
  <c r="C35" i="39" s="1"/>
  <c r="N7" i="40"/>
  <c r="O5" i="40"/>
  <c r="A32" i="39"/>
  <c r="C38" i="39"/>
  <c r="D5" i="40" s="1"/>
  <c r="D34" i="39"/>
  <c r="B28" i="39"/>
  <c r="EZ29" i="39"/>
  <c r="A31" i="39" l="1"/>
  <c r="O7" i="40"/>
  <c r="N8" i="40"/>
  <c r="E34" i="39"/>
  <c r="D32" i="39"/>
  <c r="D33" i="39"/>
  <c r="B27" i="39"/>
  <c r="EZ28" i="39"/>
  <c r="A30" i="39" l="1"/>
  <c r="N9" i="40"/>
  <c r="O8" i="40"/>
  <c r="D35" i="39"/>
  <c r="B26" i="39"/>
  <c r="E31" i="39"/>
  <c r="E33" i="39"/>
  <c r="F34" i="39"/>
  <c r="E32" i="39"/>
  <c r="EZ27" i="39"/>
  <c r="E35" i="39" l="1"/>
  <c r="A29" i="39"/>
  <c r="O9" i="40"/>
  <c r="N10" i="40"/>
  <c r="F33" i="39"/>
  <c r="G34" i="39"/>
  <c r="F31" i="39"/>
  <c r="F32" i="39"/>
  <c r="F30" i="39"/>
  <c r="B25" i="39"/>
  <c r="EZ26" i="39"/>
  <c r="A28" i="39" l="1"/>
  <c r="A27" i="39" s="1"/>
  <c r="A26" i="39" s="1"/>
  <c r="A25" i="39" s="1"/>
  <c r="F35" i="39"/>
  <c r="O10" i="40"/>
  <c r="N11" i="40"/>
  <c r="B24" i="39"/>
  <c r="H34" i="39"/>
  <c r="G32" i="39"/>
  <c r="G29" i="39"/>
  <c r="G31" i="39"/>
  <c r="G33" i="39"/>
  <c r="G30" i="39"/>
  <c r="EZ25" i="39"/>
  <c r="O11" i="40" l="1"/>
  <c r="N12" i="40"/>
  <c r="I34" i="39"/>
  <c r="H32" i="39"/>
  <c r="H29" i="39"/>
  <c r="H31" i="39"/>
  <c r="H30" i="39"/>
  <c r="H28" i="39"/>
  <c r="H33" i="39"/>
  <c r="G35" i="39"/>
  <c r="B23" i="39"/>
  <c r="A24" i="39"/>
  <c r="EZ24" i="39"/>
  <c r="H35" i="39" l="1"/>
  <c r="N13" i="40"/>
  <c r="O12" i="40"/>
  <c r="A23" i="39"/>
  <c r="B22" i="39"/>
  <c r="I31" i="39"/>
  <c r="I30" i="39"/>
  <c r="I33" i="39"/>
  <c r="I28" i="39"/>
  <c r="I27" i="39"/>
  <c r="I32" i="39"/>
  <c r="J34" i="39"/>
  <c r="I29" i="39"/>
  <c r="EZ23" i="39"/>
  <c r="I35" i="39" l="1"/>
  <c r="N14" i="40"/>
  <c r="O13" i="40"/>
  <c r="A22" i="39"/>
  <c r="B21" i="39"/>
  <c r="J33" i="39"/>
  <c r="J28" i="39"/>
  <c r="J27" i="39"/>
  <c r="J26" i="39"/>
  <c r="J32" i="39"/>
  <c r="J30" i="39"/>
  <c r="K34" i="39"/>
  <c r="J29" i="39"/>
  <c r="J31" i="39"/>
  <c r="EZ22" i="39"/>
  <c r="J35" i="39" l="1"/>
  <c r="O14" i="40"/>
  <c r="N15" i="40"/>
  <c r="A21" i="39"/>
  <c r="B20" i="39"/>
  <c r="K27" i="39"/>
  <c r="K26" i="39"/>
  <c r="L34" i="39"/>
  <c r="K32" i="39"/>
  <c r="K29" i="39"/>
  <c r="K30" i="39"/>
  <c r="K33" i="39"/>
  <c r="K28" i="39"/>
  <c r="K25" i="39"/>
  <c r="K31" i="39"/>
  <c r="EZ21" i="39"/>
  <c r="K35" i="39" l="1"/>
  <c r="O15" i="40"/>
  <c r="N16" i="40"/>
  <c r="A20" i="39"/>
  <c r="B19" i="39"/>
  <c r="M34" i="39"/>
  <c r="L32" i="39"/>
  <c r="L29" i="39"/>
  <c r="L24" i="39"/>
  <c r="L31" i="39"/>
  <c r="L30" i="39"/>
  <c r="L33" i="39"/>
  <c r="L25" i="39"/>
  <c r="L26" i="39"/>
  <c r="L27" i="39"/>
  <c r="L28" i="39"/>
  <c r="EZ20" i="39"/>
  <c r="L35" i="39" l="1"/>
  <c r="O16" i="40"/>
  <c r="N17" i="40"/>
  <c r="A19" i="39"/>
  <c r="B18" i="39"/>
  <c r="M31" i="39"/>
  <c r="M30" i="39"/>
  <c r="M23" i="39"/>
  <c r="M33" i="39"/>
  <c r="M28" i="39"/>
  <c r="M25" i="39"/>
  <c r="N34" i="39"/>
  <c r="M29" i="39"/>
  <c r="M24" i="39"/>
  <c r="M27" i="39"/>
  <c r="M32" i="39"/>
  <c r="M26" i="39"/>
  <c r="EZ19" i="39"/>
  <c r="M35" i="39" l="1"/>
  <c r="N18" i="40"/>
  <c r="O17" i="40"/>
  <c r="A18" i="39"/>
  <c r="B17" i="39"/>
  <c r="N33" i="39"/>
  <c r="N28" i="39"/>
  <c r="N25" i="39"/>
  <c r="N27" i="39"/>
  <c r="N26" i="39"/>
  <c r="O34" i="39"/>
  <c r="N29" i="39"/>
  <c r="N24" i="39"/>
  <c r="N31" i="39"/>
  <c r="N22" i="39"/>
  <c r="N30" i="39"/>
  <c r="N32" i="39"/>
  <c r="N23" i="39"/>
  <c r="EZ18" i="39"/>
  <c r="N35" i="39" l="1"/>
  <c r="O18" i="40"/>
  <c r="R4" i="40"/>
  <c r="A17" i="39"/>
  <c r="B16" i="39"/>
  <c r="O27" i="39"/>
  <c r="O26" i="39"/>
  <c r="P34" i="39"/>
  <c r="O32" i="39"/>
  <c r="O29" i="39"/>
  <c r="O24" i="39"/>
  <c r="O31" i="39"/>
  <c r="O21" i="39"/>
  <c r="O28" i="39"/>
  <c r="O25" i="39"/>
  <c r="O22" i="39"/>
  <c r="O30" i="39"/>
  <c r="O33" i="39"/>
  <c r="O23" i="39"/>
  <c r="EZ17" i="39"/>
  <c r="O35" i="39" l="1"/>
  <c r="S4" i="40"/>
  <c r="R5" i="40"/>
  <c r="A16" i="39"/>
  <c r="B15" i="39"/>
  <c r="Q34" i="39"/>
  <c r="P32" i="39"/>
  <c r="P29" i="39"/>
  <c r="P24" i="39"/>
  <c r="P31" i="39"/>
  <c r="P30" i="39"/>
  <c r="P23" i="39"/>
  <c r="P28" i="39"/>
  <c r="P25" i="39"/>
  <c r="P22" i="39"/>
  <c r="P27" i="39"/>
  <c r="P26" i="39"/>
  <c r="P20" i="39"/>
  <c r="P21" i="39"/>
  <c r="P33" i="39"/>
  <c r="EZ16" i="39"/>
  <c r="P35" i="39" l="1"/>
  <c r="R6" i="40"/>
  <c r="S5" i="40"/>
  <c r="Q31" i="39"/>
  <c r="Q30" i="39"/>
  <c r="Q23" i="39"/>
  <c r="Q22" i="39"/>
  <c r="Q33" i="39"/>
  <c r="Q28" i="39"/>
  <c r="Q25" i="39"/>
  <c r="Q27" i="39"/>
  <c r="Q26" i="39"/>
  <c r="Q20" i="39"/>
  <c r="Q32" i="39"/>
  <c r="Q19" i="39"/>
  <c r="R34" i="39"/>
  <c r="Q29" i="39"/>
  <c r="Q24" i="39"/>
  <c r="Q21" i="39"/>
  <c r="A15" i="39"/>
  <c r="B14" i="39"/>
  <c r="EZ15" i="39"/>
  <c r="R35" i="39"/>
  <c r="Q35" i="39" l="1"/>
  <c r="R7" i="40"/>
  <c r="S6" i="40"/>
  <c r="A14" i="39"/>
  <c r="B13" i="39"/>
  <c r="R33" i="39"/>
  <c r="R28" i="39"/>
  <c r="R25" i="39"/>
  <c r="R27" i="39"/>
  <c r="R26" i="39"/>
  <c r="R32" i="39"/>
  <c r="R19" i="39"/>
  <c r="R18" i="39"/>
  <c r="R30" i="39"/>
  <c r="R23" i="39"/>
  <c r="R21" i="39"/>
  <c r="R24" i="39"/>
  <c r="R22" i="39"/>
  <c r="R20" i="39"/>
  <c r="R31" i="39"/>
  <c r="S34" i="39"/>
  <c r="S35" i="39" s="1"/>
  <c r="R29" i="39"/>
  <c r="EZ14" i="39"/>
  <c r="S7" i="40" l="1"/>
  <c r="R8" i="40"/>
  <c r="S27" i="39"/>
  <c r="S26" i="39"/>
  <c r="T34" i="39"/>
  <c r="S32" i="39"/>
  <c r="S29" i="39"/>
  <c r="S24" i="39"/>
  <c r="S30" i="39"/>
  <c r="S23" i="39"/>
  <c r="S21" i="39"/>
  <c r="S33" i="39"/>
  <c r="S31" i="39"/>
  <c r="S25" i="39"/>
  <c r="S18" i="39"/>
  <c r="S28" i="39"/>
  <c r="S22" i="39"/>
  <c r="S20" i="39"/>
  <c r="S17" i="39"/>
  <c r="S19" i="39"/>
  <c r="A13" i="39"/>
  <c r="B12" i="39"/>
  <c r="T35" i="39"/>
  <c r="EZ13" i="39"/>
  <c r="S8" i="40" l="1"/>
  <c r="R9" i="40"/>
  <c r="A12" i="39"/>
  <c r="B11" i="39"/>
  <c r="U34" i="39"/>
  <c r="T32" i="39"/>
  <c r="T29" i="39"/>
  <c r="T24" i="39"/>
  <c r="T21" i="39"/>
  <c r="T31" i="39"/>
  <c r="T30" i="39"/>
  <c r="T23" i="39"/>
  <c r="T22" i="39"/>
  <c r="T33" i="39"/>
  <c r="T20" i="39"/>
  <c r="T17" i="39"/>
  <c r="T28" i="39"/>
  <c r="T27" i="39"/>
  <c r="T26" i="39"/>
  <c r="T16" i="39"/>
  <c r="T25" i="39"/>
  <c r="T19" i="39"/>
  <c r="T18" i="39"/>
  <c r="EZ12" i="39"/>
  <c r="R10" i="40" l="1"/>
  <c r="S9" i="40"/>
  <c r="A11" i="39"/>
  <c r="B10" i="39"/>
  <c r="U31" i="39"/>
  <c r="U30" i="39"/>
  <c r="U23" i="39"/>
  <c r="U22" i="39"/>
  <c r="U33" i="39"/>
  <c r="U28" i="39"/>
  <c r="U25" i="39"/>
  <c r="U20" i="39"/>
  <c r="U17" i="39"/>
  <c r="V34" i="39"/>
  <c r="V35" i="39" s="1"/>
  <c r="U29" i="39"/>
  <c r="U24" i="39"/>
  <c r="U19" i="39"/>
  <c r="U18" i="39"/>
  <c r="U26" i="39"/>
  <c r="U16" i="39"/>
  <c r="U32" i="39"/>
  <c r="U21" i="39"/>
  <c r="U27" i="39"/>
  <c r="U15" i="39"/>
  <c r="U35" i="39"/>
  <c r="EZ11" i="39"/>
  <c r="R11" i="40" l="1"/>
  <c r="S10" i="40"/>
  <c r="A10" i="39"/>
  <c r="B9" i="39"/>
  <c r="V33" i="39"/>
  <c r="V28" i="39"/>
  <c r="V25" i="39"/>
  <c r="V27" i="39"/>
  <c r="V26" i="39"/>
  <c r="W34" i="39"/>
  <c r="V29" i="39"/>
  <c r="V24" i="39"/>
  <c r="V19" i="39"/>
  <c r="V18" i="39"/>
  <c r="V31" i="39"/>
  <c r="V22" i="39"/>
  <c r="V16" i="39"/>
  <c r="V32" i="39"/>
  <c r="V21" i="39"/>
  <c r="V14" i="39"/>
  <c r="V30" i="39"/>
  <c r="V23" i="39"/>
  <c r="V20" i="39"/>
  <c r="V17" i="39"/>
  <c r="V15" i="39"/>
  <c r="EZ10" i="39"/>
  <c r="S11" i="40" l="1"/>
  <c r="R12" i="40"/>
  <c r="A9" i="39"/>
  <c r="B8" i="39"/>
  <c r="W27" i="39"/>
  <c r="W26" i="39"/>
  <c r="X34" i="39"/>
  <c r="X35" i="39" s="1"/>
  <c r="W32" i="39"/>
  <c r="W29" i="39"/>
  <c r="W24" i="39"/>
  <c r="W31" i="39"/>
  <c r="W22" i="39"/>
  <c r="W16" i="39"/>
  <c r="W13" i="39"/>
  <c r="W28" i="39"/>
  <c r="W25" i="39"/>
  <c r="W21" i="39"/>
  <c r="W15" i="39"/>
  <c r="W14" i="39"/>
  <c r="W23" i="39"/>
  <c r="W20" i="39"/>
  <c r="W17" i="39"/>
  <c r="W33" i="39"/>
  <c r="W19" i="39"/>
  <c r="W18" i="39"/>
  <c r="W30" i="39"/>
  <c r="W35" i="39"/>
  <c r="EZ9" i="39"/>
  <c r="S12" i="40" l="1"/>
  <c r="R13" i="40"/>
  <c r="A8" i="39"/>
  <c r="B7" i="39"/>
  <c r="Y34" i="39"/>
  <c r="X32" i="39"/>
  <c r="X29" i="39"/>
  <c r="X24" i="39"/>
  <c r="X21" i="39"/>
  <c r="X31" i="39"/>
  <c r="X30" i="39"/>
  <c r="X23" i="39"/>
  <c r="X22" i="39"/>
  <c r="X28" i="39"/>
  <c r="X25" i="39"/>
  <c r="X15" i="39"/>
  <c r="X14" i="39"/>
  <c r="X27" i="39"/>
  <c r="X26" i="39"/>
  <c r="X20" i="39"/>
  <c r="X17" i="39"/>
  <c r="X12" i="39"/>
  <c r="X33" i="39"/>
  <c r="X19" i="39"/>
  <c r="X18" i="39"/>
  <c r="X13" i="39"/>
  <c r="X16" i="39"/>
  <c r="EZ8" i="39"/>
  <c r="R14" i="40" l="1"/>
  <c r="S13" i="40"/>
  <c r="Y31" i="39"/>
  <c r="Y30" i="39"/>
  <c r="Y23" i="39"/>
  <c r="Y22" i="39"/>
  <c r="Y33" i="39"/>
  <c r="Y28" i="39"/>
  <c r="Y25" i="39"/>
  <c r="Y27" i="39"/>
  <c r="Y26" i="39"/>
  <c r="Y21" i="39"/>
  <c r="Y20" i="39"/>
  <c r="Y17" i="39"/>
  <c r="Y12" i="39"/>
  <c r="Y32" i="39"/>
  <c r="Y19" i="39"/>
  <c r="Y18" i="39"/>
  <c r="Y11" i="39"/>
  <c r="Y13" i="39"/>
  <c r="Y24" i="39"/>
  <c r="Y14" i="39"/>
  <c r="Z34" i="39"/>
  <c r="Y29" i="39"/>
  <c r="Y15" i="39"/>
  <c r="Y16" i="39"/>
  <c r="A7" i="39"/>
  <c r="B6" i="39"/>
  <c r="Y35" i="39"/>
  <c r="EZ7" i="39"/>
  <c r="Z35" i="39"/>
  <c r="R15" i="40" l="1"/>
  <c r="S14" i="40"/>
  <c r="A6" i="39"/>
  <c r="B5" i="39"/>
  <c r="Z33" i="39"/>
  <c r="Z28" i="39"/>
  <c r="Z25" i="39"/>
  <c r="Z27" i="39"/>
  <c r="Z26" i="39"/>
  <c r="Z32" i="39"/>
  <c r="Z19" i="39"/>
  <c r="Z18" i="39"/>
  <c r="Z11" i="39"/>
  <c r="Z10" i="39"/>
  <c r="Z30" i="39"/>
  <c r="Z23" i="39"/>
  <c r="Z16" i="39"/>
  <c r="Z13" i="39"/>
  <c r="AA34" i="39"/>
  <c r="Z29" i="39"/>
  <c r="Z15" i="39"/>
  <c r="Z31" i="39"/>
  <c r="Z21" i="39"/>
  <c r="Z20" i="39"/>
  <c r="Z22" i="39"/>
  <c r="Z12" i="39"/>
  <c r="Z24" i="39"/>
  <c r="Z14" i="39"/>
  <c r="Z17" i="39"/>
  <c r="EZ6" i="39"/>
  <c r="AA35" i="39"/>
  <c r="S15" i="40" l="1"/>
  <c r="R16" i="40"/>
  <c r="A5" i="39"/>
  <c r="B4" i="39"/>
  <c r="AA27" i="39"/>
  <c r="AA26" i="39"/>
  <c r="AB34" i="39"/>
  <c r="AB35" i="39" s="1"/>
  <c r="AA32" i="39"/>
  <c r="AA29" i="39"/>
  <c r="AA24" i="39"/>
  <c r="AA30" i="39"/>
  <c r="AA23" i="39"/>
  <c r="AA16" i="39"/>
  <c r="AA13" i="39"/>
  <c r="AA33" i="39"/>
  <c r="AA15" i="39"/>
  <c r="AA14" i="39"/>
  <c r="AA22" i="39"/>
  <c r="AA12" i="39"/>
  <c r="AA9" i="39"/>
  <c r="AA28" i="39"/>
  <c r="AA19" i="39"/>
  <c r="AA18" i="39"/>
  <c r="AA25" i="39"/>
  <c r="AA11" i="39"/>
  <c r="AA10" i="39"/>
  <c r="AA31" i="39"/>
  <c r="AA21" i="39"/>
  <c r="AA20" i="39"/>
  <c r="AA17" i="39"/>
  <c r="EZ5" i="39"/>
  <c r="A4" i="39" l="1"/>
  <c r="T15" i="40" s="1"/>
  <c r="P4" i="40"/>
  <c r="P5" i="40"/>
  <c r="P6" i="40"/>
  <c r="P7" i="40"/>
  <c r="P8" i="40"/>
  <c r="P9" i="40"/>
  <c r="P10" i="40"/>
  <c r="P11" i="40"/>
  <c r="P12" i="40"/>
  <c r="P13" i="40"/>
  <c r="P14" i="40"/>
  <c r="P15" i="40"/>
  <c r="P16" i="40"/>
  <c r="P17" i="40"/>
  <c r="P18" i="40"/>
  <c r="T4" i="40"/>
  <c r="T6" i="40"/>
  <c r="T8" i="40"/>
  <c r="T10" i="40"/>
  <c r="T12" i="40"/>
  <c r="T14" i="40"/>
  <c r="S16" i="40"/>
  <c r="T16" i="40"/>
  <c r="R17" i="40"/>
  <c r="AC34" i="39"/>
  <c r="AC35" i="39" s="1"/>
  <c r="AB32" i="39"/>
  <c r="AB29" i="39"/>
  <c r="AB24" i="39"/>
  <c r="AB21" i="39"/>
  <c r="AB31" i="39"/>
  <c r="AB30" i="39"/>
  <c r="AB23" i="39"/>
  <c r="AB22" i="39"/>
  <c r="AB33" i="39"/>
  <c r="AB15" i="39"/>
  <c r="AB14" i="39"/>
  <c r="AB20" i="39"/>
  <c r="AB17" i="39"/>
  <c r="AB12" i="39"/>
  <c r="AB9" i="39"/>
  <c r="AB25" i="39"/>
  <c r="AB11" i="39"/>
  <c r="AB10" i="39"/>
  <c r="AB26" i="39"/>
  <c r="AB8" i="39"/>
  <c r="AB27" i="39"/>
  <c r="AB16" i="39"/>
  <c r="AB28" i="39"/>
  <c r="AB19" i="39"/>
  <c r="AB18" i="39"/>
  <c r="AB13" i="39"/>
  <c r="EZ4" i="39"/>
  <c r="L36" i="39" s="1"/>
  <c r="C4" i="40" s="1"/>
  <c r="C6" i="40" s="1"/>
  <c r="T13" i="40" l="1"/>
  <c r="T11" i="40"/>
  <c r="T9" i="40"/>
  <c r="T7" i="40"/>
  <c r="T5" i="40"/>
  <c r="R18" i="40"/>
  <c r="T17" i="40"/>
  <c r="S17" i="40"/>
  <c r="AC31" i="39"/>
  <c r="AC30" i="39"/>
  <c r="AC23" i="39"/>
  <c r="AC22" i="39"/>
  <c r="AC33" i="39"/>
  <c r="AC28" i="39"/>
  <c r="AC25" i="39"/>
  <c r="AC20" i="39"/>
  <c r="AC17" i="39"/>
  <c r="AC12" i="39"/>
  <c r="AC9" i="39"/>
  <c r="AD34" i="39"/>
  <c r="AD35" i="39" s="1"/>
  <c r="AC29" i="39"/>
  <c r="AC24" i="39"/>
  <c r="AC21" i="39"/>
  <c r="AC19" i="39"/>
  <c r="AC18" i="39"/>
  <c r="AC11" i="39"/>
  <c r="AC10" i="39"/>
  <c r="AC27" i="39"/>
  <c r="AC16" i="39"/>
  <c r="AC8" i="39"/>
  <c r="AC32" i="39"/>
  <c r="AC15" i="39"/>
  <c r="AC14" i="39"/>
  <c r="AC7" i="39"/>
  <c r="AC26" i="39"/>
  <c r="AC13" i="39"/>
  <c r="T18" i="40" l="1"/>
  <c r="S18" i="40"/>
  <c r="AD33" i="39"/>
  <c r="AD28" i="39"/>
  <c r="AD25" i="39"/>
  <c r="AD27" i="39"/>
  <c r="AD26" i="39"/>
  <c r="AE34" i="39"/>
  <c r="AD29" i="39"/>
  <c r="AD24" i="39"/>
  <c r="AD21" i="39"/>
  <c r="AD19" i="39"/>
  <c r="AD18" i="39"/>
  <c r="AD11" i="39"/>
  <c r="AD10" i="39"/>
  <c r="AD31" i="39"/>
  <c r="AD22" i="39"/>
  <c r="AD16" i="39"/>
  <c r="AD13" i="39"/>
  <c r="AD8" i="39"/>
  <c r="AD14" i="39"/>
  <c r="AD7" i="39"/>
  <c r="AD6" i="39"/>
  <c r="AD23" i="39"/>
  <c r="AD12" i="39"/>
  <c r="AD30" i="39"/>
  <c r="AD20" i="39"/>
  <c r="AD17" i="39"/>
  <c r="AD32" i="39"/>
  <c r="AD15" i="39"/>
  <c r="AD9" i="39"/>
  <c r="AE35" i="39"/>
  <c r="AE27" i="39" l="1"/>
  <c r="AE26" i="39"/>
  <c r="AF34" i="39"/>
  <c r="AE32" i="39"/>
  <c r="AE29" i="39"/>
  <c r="AE24" i="39"/>
  <c r="AE31" i="39"/>
  <c r="AE22" i="39"/>
  <c r="AE16" i="39"/>
  <c r="AE13" i="39"/>
  <c r="AE8" i="39"/>
  <c r="AE5" i="39"/>
  <c r="AE28" i="39"/>
  <c r="AE25" i="39"/>
  <c r="AE15" i="39"/>
  <c r="AE14" i="39"/>
  <c r="AE7" i="39"/>
  <c r="AE6" i="39"/>
  <c r="AE30" i="39"/>
  <c r="AE20" i="39"/>
  <c r="AE17" i="39"/>
  <c r="AE33" i="39"/>
  <c r="AE10" i="39"/>
  <c r="AE21" i="39"/>
  <c r="AE19" i="39"/>
  <c r="AE18" i="39"/>
  <c r="AE23" i="39"/>
  <c r="AE12" i="39"/>
  <c r="AE9" i="39"/>
  <c r="AE11" i="39"/>
  <c r="AF32" i="39" l="1"/>
  <c r="AF29" i="39"/>
  <c r="AF24" i="39"/>
  <c r="AF21" i="39"/>
  <c r="AF31" i="39"/>
  <c r="AF30" i="39"/>
  <c r="AF23" i="39"/>
  <c r="AF22" i="39"/>
  <c r="AF28" i="39"/>
  <c r="AF25" i="39"/>
  <c r="AF15" i="39"/>
  <c r="AF14" i="39"/>
  <c r="AF7" i="39"/>
  <c r="AF6" i="39"/>
  <c r="AF27" i="39"/>
  <c r="AF26" i="39"/>
  <c r="AF20" i="39"/>
  <c r="AF17" i="39"/>
  <c r="AF12" i="39"/>
  <c r="AF9" i="39"/>
  <c r="AF4" i="39"/>
  <c r="AF19" i="39"/>
  <c r="AF18" i="39"/>
  <c r="AF16" i="39"/>
  <c r="AF13" i="39"/>
  <c r="AF8" i="39"/>
  <c r="AF33" i="39"/>
  <c r="AF11" i="39"/>
  <c r="AF10" i="39"/>
  <c r="AF5" i="39"/>
  <c r="AF35" i="39"/>
  <c r="C36" i="39" s="1"/>
  <c r="D4" i="40" s="1"/>
  <c r="D6" i="40" s="1"/>
  <c r="A8" i="40" s="1"/>
  <c r="G12" i="33" l="1"/>
  <c r="F8" i="33"/>
  <c r="F9" i="33" s="1"/>
  <c r="G5" i="33"/>
  <c r="F5" i="33"/>
  <c r="G4" i="33"/>
  <c r="F4" i="33"/>
  <c r="F6" i="33" s="1"/>
  <c r="G3" i="33"/>
  <c r="F3" i="33"/>
  <c r="G6" i="33" l="1"/>
  <c r="G7" i="33" s="1"/>
  <c r="G13" i="33" s="1"/>
  <c r="G14" i="33" s="1"/>
  <c r="G15" i="33" s="1"/>
  <c r="G16" i="33" s="1"/>
  <c r="F10" i="33"/>
  <c r="F11" i="33"/>
  <c r="F13" i="33" s="1"/>
  <c r="F14" i="33" l="1"/>
  <c r="F15" i="33" s="1"/>
  <c r="F16" i="33" s="1"/>
  <c r="F2" i="29" l="1"/>
  <c r="B2" i="29"/>
  <c r="O1" i="24" l="1"/>
  <c r="L16" i="32" l="1"/>
  <c r="F16" i="32"/>
  <c r="L8" i="32"/>
  <c r="F8" i="32"/>
  <c r="L16" i="31"/>
  <c r="F16" i="31"/>
  <c r="L8" i="31"/>
  <c r="F8" i="31"/>
  <c r="F13" i="24" l="1"/>
  <c r="G13" i="24" l="1"/>
  <c r="D8" i="26"/>
  <c r="E18" i="26"/>
  <c r="F16" i="26"/>
  <c r="C16" i="26"/>
  <c r="M2" i="26"/>
  <c r="K3" i="26" s="1"/>
  <c r="B13" i="24"/>
  <c r="C13" i="24" l="1"/>
  <c r="J8" i="24"/>
  <c r="O2" i="24" s="1"/>
  <c r="O8" i="29"/>
  <c r="O21" i="29" s="1"/>
  <c r="N21" i="29" s="1"/>
  <c r="O7" i="29"/>
  <c r="O17" i="29" s="1"/>
  <c r="O6" i="29"/>
  <c r="O13" i="29" s="1"/>
  <c r="B1" i="30"/>
  <c r="H13" i="24" l="1"/>
  <c r="D13" i="24"/>
  <c r="O22" i="29"/>
  <c r="N22" i="29" s="1"/>
  <c r="O12" i="29"/>
  <c r="O14" i="29"/>
  <c r="O20" i="29"/>
  <c r="N20" i="29" s="1"/>
  <c r="O16" i="29"/>
  <c r="O11" i="29"/>
  <c r="N11" i="29" s="1"/>
  <c r="O15" i="29"/>
  <c r="O19" i="29"/>
  <c r="N19" i="29" s="1"/>
  <c r="O18" i="29"/>
  <c r="E10" i="23"/>
  <c r="N12" i="29" l="1"/>
  <c r="N13" i="29" s="1"/>
  <c r="P11" i="29"/>
  <c r="P12" i="29"/>
  <c r="C14" i="25"/>
  <c r="H10" i="25" s="1"/>
  <c r="H11" i="25" s="1"/>
  <c r="N15" i="29" l="1"/>
  <c r="N16" i="29" s="1"/>
  <c r="N14" i="29"/>
  <c r="P14" i="29" s="1"/>
  <c r="P13" i="29"/>
  <c r="C17" i="20"/>
  <c r="B16" i="20"/>
  <c r="E16" i="20" s="1"/>
  <c r="B15" i="20"/>
  <c r="G15" i="20" s="1"/>
  <c r="N17" i="29" l="1"/>
  <c r="N18" i="29" s="1"/>
  <c r="N23" i="29" s="1"/>
  <c r="D15" i="20"/>
  <c r="P15" i="29"/>
  <c r="N24" i="29"/>
  <c r="F15" i="20"/>
  <c r="C15" i="20"/>
  <c r="E15" i="20"/>
  <c r="D16" i="20"/>
  <c r="C16" i="20"/>
  <c r="G16" i="20"/>
  <c r="F16" i="20"/>
  <c r="B16" i="22"/>
  <c r="B15" i="22"/>
  <c r="P5" i="22"/>
  <c r="B14" i="22" s="1"/>
  <c r="D20" i="23"/>
  <c r="N25" i="29" l="1"/>
  <c r="P16" i="29"/>
  <c r="J10" i="23"/>
  <c r="O4" i="23"/>
  <c r="B15" i="21"/>
  <c r="E20" i="30"/>
  <c r="C29" i="30"/>
  <c r="I29" i="30" s="1"/>
  <c r="F26" i="30"/>
  <c r="I26" i="30" s="1"/>
  <c r="J8" i="30"/>
  <c r="J7" i="30"/>
  <c r="J5" i="30"/>
  <c r="N26" i="29" l="1"/>
  <c r="P18" i="29" s="1"/>
  <c r="P17" i="29"/>
  <c r="J4" i="30"/>
  <c r="E18" i="30"/>
  <c r="J9" i="30" s="1"/>
  <c r="J3" i="30"/>
  <c r="C4" i="30"/>
  <c r="E4" i="30" s="1"/>
  <c r="H4" i="30" s="1"/>
  <c r="C5" i="30"/>
  <c r="E5" i="30" s="1"/>
  <c r="H5" i="30" s="1"/>
  <c r="C6" i="30"/>
  <c r="E6" i="30" s="1"/>
  <c r="H6" i="30" s="1"/>
  <c r="C7" i="30"/>
  <c r="E7" i="30" s="1"/>
  <c r="H7" i="30" s="1"/>
  <c r="C8" i="30"/>
  <c r="E8" i="30" s="1"/>
  <c r="H8" i="30" s="1"/>
  <c r="C9" i="30"/>
  <c r="E9" i="30" s="1"/>
  <c r="H9" i="30" s="1"/>
  <c r="C10" i="30"/>
  <c r="E10" i="30" s="1"/>
  <c r="H10" i="30" s="1"/>
  <c r="C11" i="30"/>
  <c r="E11" i="30" s="1"/>
  <c r="H11" i="30" s="1"/>
  <c r="C12" i="30"/>
  <c r="E12" i="30" s="1"/>
  <c r="C13" i="30"/>
  <c r="E13" i="30" s="1"/>
  <c r="H13" i="30" s="1"/>
  <c r="C3" i="30"/>
  <c r="E3" i="30" s="1"/>
  <c r="H3" i="30" s="1"/>
  <c r="F13" i="22"/>
  <c r="E13" i="22"/>
  <c r="D13" i="22"/>
  <c r="C13" i="22"/>
  <c r="F3" i="22"/>
  <c r="N27" i="29" l="1"/>
  <c r="G18" i="30"/>
  <c r="G12" i="30"/>
  <c r="H12" i="30"/>
  <c r="F18" i="22"/>
  <c r="F14" i="22"/>
  <c r="D14" i="22"/>
  <c r="C16" i="22"/>
  <c r="C21" i="22"/>
  <c r="C15" i="22"/>
  <c r="F15" i="22"/>
  <c r="D15" i="22"/>
  <c r="C18" i="22"/>
  <c r="C22" i="22"/>
  <c r="E15" i="22"/>
  <c r="C20" i="22"/>
  <c r="E14" i="22"/>
  <c r="C14" i="22"/>
  <c r="C19" i="22"/>
  <c r="C17" i="22"/>
  <c r="D16" i="22"/>
  <c r="F16" i="22"/>
  <c r="E16" i="22"/>
  <c r="B3" i="30"/>
  <c r="B4" i="30"/>
  <c r="B8" i="30"/>
  <c r="B12" i="30"/>
  <c r="B5" i="30"/>
  <c r="B9" i="30"/>
  <c r="B13" i="30"/>
  <c r="B6" i="30"/>
  <c r="B10" i="30"/>
  <c r="B7" i="30"/>
  <c r="B11" i="30"/>
  <c r="C19" i="30"/>
  <c r="C23" i="30"/>
  <c r="I23" i="30" s="1"/>
  <c r="B15" i="30"/>
  <c r="G3" i="30"/>
  <c r="G13" i="30"/>
  <c r="G9" i="30"/>
  <c r="G8" i="30"/>
  <c r="G11" i="30"/>
  <c r="G7" i="30"/>
  <c r="G10" i="30"/>
  <c r="G6" i="30"/>
  <c r="G5" i="30"/>
  <c r="G4" i="30"/>
  <c r="D22" i="22"/>
  <c r="E22" i="22"/>
  <c r="F22" i="22"/>
  <c r="D20" i="22"/>
  <c r="E20" i="22"/>
  <c r="D21" i="22"/>
  <c r="D19" i="22"/>
  <c r="E21" i="22"/>
  <c r="E19" i="22"/>
  <c r="F21" i="22"/>
  <c r="F19" i="22"/>
  <c r="D17" i="22"/>
  <c r="E17" i="22"/>
  <c r="F17" i="22"/>
  <c r="F20" i="22"/>
  <c r="D18" i="22"/>
  <c r="E18" i="22"/>
  <c r="F6" i="22"/>
  <c r="B18" i="26"/>
  <c r="C7" i="26"/>
  <c r="C12" i="26" l="1"/>
  <c r="C14" i="26" s="1"/>
  <c r="J5" i="26"/>
  <c r="J9" i="26"/>
  <c r="J13" i="26"/>
  <c r="J17" i="26"/>
  <c r="J21" i="26"/>
  <c r="J25" i="26"/>
  <c r="J29" i="26"/>
  <c r="J33" i="26"/>
  <c r="J37" i="26"/>
  <c r="J41" i="26"/>
  <c r="J45" i="26"/>
  <c r="J49" i="26"/>
  <c r="J53" i="26"/>
  <c r="J57" i="26"/>
  <c r="J61" i="26"/>
  <c r="J65" i="26"/>
  <c r="J69" i="26"/>
  <c r="J73" i="26"/>
  <c r="J77" i="26"/>
  <c r="J81" i="26"/>
  <c r="J85" i="26"/>
  <c r="J89" i="26"/>
  <c r="J93" i="26"/>
  <c r="J97" i="26"/>
  <c r="J101" i="26"/>
  <c r="J105" i="26"/>
  <c r="J109" i="26"/>
  <c r="J113" i="26"/>
  <c r="J117" i="26"/>
  <c r="J121" i="26"/>
  <c r="J125" i="26"/>
  <c r="J129" i="26"/>
  <c r="J133" i="26"/>
  <c r="J137" i="26"/>
  <c r="J141" i="26"/>
  <c r="J145" i="26"/>
  <c r="J149" i="26"/>
  <c r="J153" i="26"/>
  <c r="J157" i="26"/>
  <c r="J161" i="26"/>
  <c r="J165" i="26"/>
  <c r="J169" i="26"/>
  <c r="J173" i="26"/>
  <c r="J177" i="26"/>
  <c r="J181" i="26"/>
  <c r="J185" i="26"/>
  <c r="J189" i="26"/>
  <c r="J193" i="26"/>
  <c r="J197" i="26"/>
  <c r="J201" i="26"/>
  <c r="J205" i="26"/>
  <c r="J209" i="26"/>
  <c r="J213" i="26"/>
  <c r="J217" i="26"/>
  <c r="J221" i="26"/>
  <c r="J225" i="26"/>
  <c r="J229" i="26"/>
  <c r="J233" i="26"/>
  <c r="J237" i="26"/>
  <c r="J241" i="26"/>
  <c r="J245" i="26"/>
  <c r="J249" i="26"/>
  <c r="J253" i="26"/>
  <c r="J257" i="26"/>
  <c r="J261" i="26"/>
  <c r="J265" i="26"/>
  <c r="J269" i="26"/>
  <c r="J273" i="26"/>
  <c r="J277" i="26"/>
  <c r="J281" i="26"/>
  <c r="J285" i="26"/>
  <c r="J289" i="26"/>
  <c r="J293" i="26"/>
  <c r="J297" i="26"/>
  <c r="J301" i="26"/>
  <c r="J8" i="26"/>
  <c r="J12" i="26"/>
  <c r="J20" i="26"/>
  <c r="J28" i="26"/>
  <c r="J36" i="26"/>
  <c r="J44" i="26"/>
  <c r="J52" i="26"/>
  <c r="J60" i="26"/>
  <c r="J68" i="26"/>
  <c r="J76" i="26"/>
  <c r="J6" i="26"/>
  <c r="J10" i="26"/>
  <c r="J14" i="26"/>
  <c r="J18" i="26"/>
  <c r="J22" i="26"/>
  <c r="J26" i="26"/>
  <c r="J30" i="26"/>
  <c r="J34" i="26"/>
  <c r="J38" i="26"/>
  <c r="J42" i="26"/>
  <c r="J46" i="26"/>
  <c r="J50" i="26"/>
  <c r="J54" i="26"/>
  <c r="J58" i="26"/>
  <c r="J62" i="26"/>
  <c r="J66" i="26"/>
  <c r="J70" i="26"/>
  <c r="J74" i="26"/>
  <c r="J78" i="26"/>
  <c r="J82" i="26"/>
  <c r="J86" i="26"/>
  <c r="J90" i="26"/>
  <c r="J94" i="26"/>
  <c r="J98" i="26"/>
  <c r="J102" i="26"/>
  <c r="J106" i="26"/>
  <c r="J110" i="26"/>
  <c r="J114" i="26"/>
  <c r="J118" i="26"/>
  <c r="J122" i="26"/>
  <c r="J126" i="26"/>
  <c r="J130" i="26"/>
  <c r="J134" i="26"/>
  <c r="J138" i="26"/>
  <c r="J142" i="26"/>
  <c r="J146" i="26"/>
  <c r="J150" i="26"/>
  <c r="J154" i="26"/>
  <c r="J158" i="26"/>
  <c r="J162" i="26"/>
  <c r="J166" i="26"/>
  <c r="J170" i="26"/>
  <c r="J174" i="26"/>
  <c r="J178" i="26"/>
  <c r="J182" i="26"/>
  <c r="J186" i="26"/>
  <c r="J190" i="26"/>
  <c r="J194" i="26"/>
  <c r="J198" i="26"/>
  <c r="J202" i="26"/>
  <c r="J206" i="26"/>
  <c r="J210" i="26"/>
  <c r="J214" i="26"/>
  <c r="J218" i="26"/>
  <c r="J222" i="26"/>
  <c r="J226" i="26"/>
  <c r="J230" i="26"/>
  <c r="J234" i="26"/>
  <c r="J238" i="26"/>
  <c r="J242" i="26"/>
  <c r="J246" i="26"/>
  <c r="J250" i="26"/>
  <c r="J254" i="26"/>
  <c r="J258" i="26"/>
  <c r="J262" i="26"/>
  <c r="J266" i="26"/>
  <c r="J270" i="26"/>
  <c r="J274" i="26"/>
  <c r="J278" i="26"/>
  <c r="J282" i="26"/>
  <c r="J286" i="26"/>
  <c r="J290" i="26"/>
  <c r="J294" i="26"/>
  <c r="J298" i="26"/>
  <c r="J302" i="26"/>
  <c r="J7" i="26"/>
  <c r="J11" i="26"/>
  <c r="J15" i="26"/>
  <c r="J19" i="26"/>
  <c r="J23" i="26"/>
  <c r="J27" i="26"/>
  <c r="J31" i="26"/>
  <c r="J35" i="26"/>
  <c r="J39" i="26"/>
  <c r="J43" i="26"/>
  <c r="J47" i="26"/>
  <c r="J51" i="26"/>
  <c r="J55" i="26"/>
  <c r="J59" i="26"/>
  <c r="J63" i="26"/>
  <c r="J67" i="26"/>
  <c r="J71" i="26"/>
  <c r="J75" i="26"/>
  <c r="J79" i="26"/>
  <c r="J83" i="26"/>
  <c r="J87" i="26"/>
  <c r="J91" i="26"/>
  <c r="J95" i="26"/>
  <c r="J99" i="26"/>
  <c r="J103" i="26"/>
  <c r="J107" i="26"/>
  <c r="J111" i="26"/>
  <c r="J115" i="26"/>
  <c r="J119" i="26"/>
  <c r="J123" i="26"/>
  <c r="J127" i="26"/>
  <c r="J131" i="26"/>
  <c r="J135" i="26"/>
  <c r="J139" i="26"/>
  <c r="J143" i="26"/>
  <c r="J147" i="26"/>
  <c r="J151" i="26"/>
  <c r="J155" i="26"/>
  <c r="J159" i="26"/>
  <c r="J163" i="26"/>
  <c r="J167" i="26"/>
  <c r="J171" i="26"/>
  <c r="J175" i="26"/>
  <c r="J179" i="26"/>
  <c r="J183" i="26"/>
  <c r="J187" i="26"/>
  <c r="J191" i="26"/>
  <c r="J195" i="26"/>
  <c r="J199" i="26"/>
  <c r="J203" i="26"/>
  <c r="J207" i="26"/>
  <c r="J211" i="26"/>
  <c r="J215" i="26"/>
  <c r="J219" i="26"/>
  <c r="J223" i="26"/>
  <c r="J227" i="26"/>
  <c r="J231" i="26"/>
  <c r="J235" i="26"/>
  <c r="J239" i="26"/>
  <c r="J243" i="26"/>
  <c r="J247" i="26"/>
  <c r="J251" i="26"/>
  <c r="J255" i="26"/>
  <c r="J259" i="26"/>
  <c r="J263" i="26"/>
  <c r="J267" i="26"/>
  <c r="J271" i="26"/>
  <c r="J275" i="26"/>
  <c r="J279" i="26"/>
  <c r="J283" i="26"/>
  <c r="J287" i="26"/>
  <c r="J291" i="26"/>
  <c r="J295" i="26"/>
  <c r="J299" i="26"/>
  <c r="J3" i="26"/>
  <c r="L3" i="26" s="1"/>
  <c r="M3" i="26" s="1"/>
  <c r="K4" i="26" s="1"/>
  <c r="J4" i="26"/>
  <c r="J16" i="26"/>
  <c r="J24" i="26"/>
  <c r="J32" i="26"/>
  <c r="J40" i="26"/>
  <c r="J48" i="26"/>
  <c r="J56" i="26"/>
  <c r="J64" i="26"/>
  <c r="J72" i="26"/>
  <c r="J80" i="26"/>
  <c r="J88" i="26"/>
  <c r="J104" i="26"/>
  <c r="J120" i="26"/>
  <c r="J136" i="26"/>
  <c r="J152" i="26"/>
  <c r="J168" i="26"/>
  <c r="J184" i="26"/>
  <c r="J200" i="26"/>
  <c r="J216" i="26"/>
  <c r="J232" i="26"/>
  <c r="J248" i="26"/>
  <c r="J264" i="26"/>
  <c r="J280" i="26"/>
  <c r="J296" i="26"/>
  <c r="J92" i="26"/>
  <c r="J108" i="26"/>
  <c r="J124" i="26"/>
  <c r="J140" i="26"/>
  <c r="J156" i="26"/>
  <c r="J172" i="26"/>
  <c r="J188" i="26"/>
  <c r="J204" i="26"/>
  <c r="J220" i="26"/>
  <c r="J236" i="26"/>
  <c r="J252" i="26"/>
  <c r="J268" i="26"/>
  <c r="J284" i="26"/>
  <c r="J300" i="26"/>
  <c r="J244" i="26"/>
  <c r="J96" i="26"/>
  <c r="J112" i="26"/>
  <c r="J128" i="26"/>
  <c r="J144" i="26"/>
  <c r="J160" i="26"/>
  <c r="J176" i="26"/>
  <c r="J192" i="26"/>
  <c r="J208" i="26"/>
  <c r="J224" i="26"/>
  <c r="J240" i="26"/>
  <c r="J256" i="26"/>
  <c r="J272" i="26"/>
  <c r="J288" i="26"/>
  <c r="J84" i="26"/>
  <c r="J100" i="26"/>
  <c r="J116" i="26"/>
  <c r="J132" i="26"/>
  <c r="J148" i="26"/>
  <c r="J164" i="26"/>
  <c r="J180" i="26"/>
  <c r="J196" i="26"/>
  <c r="J212" i="26"/>
  <c r="J228" i="26"/>
  <c r="J260" i="26"/>
  <c r="J276" i="26"/>
  <c r="J292" i="26"/>
  <c r="N28" i="29"/>
  <c r="P20" i="29" s="1"/>
  <c r="J6" i="30"/>
  <c r="G19" i="30"/>
  <c r="H20" i="30" s="1"/>
  <c r="E19" i="30"/>
  <c r="N29" i="29" l="1"/>
  <c r="N30" i="29" s="1"/>
  <c r="P21" i="29" s="1"/>
  <c r="L4" i="26"/>
  <c r="M4" i="26" s="1"/>
  <c r="K5" i="26" s="1"/>
  <c r="L5" i="26" s="1"/>
  <c r="M5" i="26" s="1"/>
  <c r="K6" i="26" s="1"/>
  <c r="L6" i="26" s="1"/>
  <c r="M6" i="26" s="1"/>
  <c r="K7" i="26" s="1"/>
  <c r="L7" i="26" s="1"/>
  <c r="M7" i="26" s="1"/>
  <c r="K8" i="26" s="1"/>
  <c r="L8" i="26" s="1"/>
  <c r="M8" i="26" s="1"/>
  <c r="K9" i="26" s="1"/>
  <c r="L9" i="26" s="1"/>
  <c r="M9" i="26" s="1"/>
  <c r="K10" i="26" s="1"/>
  <c r="L10" i="26" s="1"/>
  <c r="M10" i="26" s="1"/>
  <c r="K11" i="26" s="1"/>
  <c r="L11" i="26" s="1"/>
  <c r="M11" i="26" s="1"/>
  <c r="K12" i="26" s="1"/>
  <c r="L12" i="26" s="1"/>
  <c r="M12" i="26" s="1"/>
  <c r="K13" i="26" s="1"/>
  <c r="L13" i="26" s="1"/>
  <c r="M13" i="26" s="1"/>
  <c r="K14" i="26" s="1"/>
  <c r="L14" i="26" s="1"/>
  <c r="M14" i="26" s="1"/>
  <c r="P19" i="29"/>
  <c r="P24" i="29"/>
  <c r="P25" i="29" l="1"/>
  <c r="P28" i="29"/>
  <c r="P29" i="29"/>
  <c r="P27" i="29"/>
  <c r="P26" i="29"/>
  <c r="P23" i="29"/>
  <c r="P30" i="29"/>
  <c r="P22" i="29"/>
  <c r="K15" i="26"/>
  <c r="L15" i="26" s="1"/>
  <c r="M15" i="26" s="1"/>
  <c r="C5" i="25"/>
  <c r="C12" i="25" s="1"/>
  <c r="G10" i="25" l="1"/>
  <c r="G11" i="25" s="1"/>
  <c r="C15" i="25"/>
  <c r="K16" i="26"/>
  <c r="L16" i="26" s="1"/>
  <c r="M16" i="26" s="1"/>
  <c r="C16" i="25"/>
  <c r="F14" i="24"/>
  <c r="B14" i="24"/>
  <c r="G14" i="24" l="1"/>
  <c r="H14" i="24" s="1"/>
  <c r="C14" i="24"/>
  <c r="K17" i="26"/>
  <c r="L17" i="26" s="1"/>
  <c r="M17" i="26" s="1"/>
  <c r="F15" i="24"/>
  <c r="B15" i="24"/>
  <c r="D14" i="24" l="1"/>
  <c r="G15" i="24"/>
  <c r="H15" i="24" s="1"/>
  <c r="C15" i="24"/>
  <c r="K18" i="26"/>
  <c r="L18" i="26" s="1"/>
  <c r="M18" i="26" s="1"/>
  <c r="T13" i="24"/>
  <c r="F16" i="24"/>
  <c r="B16" i="24"/>
  <c r="D15" i="24" l="1"/>
  <c r="G16" i="24"/>
  <c r="H16" i="24" s="1"/>
  <c r="C16" i="24"/>
  <c r="K19" i="26"/>
  <c r="L19" i="26" s="1"/>
  <c r="M19" i="26" s="1"/>
  <c r="T14" i="24"/>
  <c r="F17" i="24"/>
  <c r="B17" i="24"/>
  <c r="D16" i="24" l="1"/>
  <c r="G17" i="24"/>
  <c r="H17" i="24" s="1"/>
  <c r="C17" i="24"/>
  <c r="K20" i="26"/>
  <c r="L20" i="26" s="1"/>
  <c r="M20" i="26" s="1"/>
  <c r="T16" i="24"/>
  <c r="F18" i="24"/>
  <c r="B18" i="24"/>
  <c r="D17" i="24" l="1"/>
  <c r="G18" i="24"/>
  <c r="H18" i="24" s="1"/>
  <c r="C18" i="24"/>
  <c r="K21" i="26"/>
  <c r="L21" i="26" s="1"/>
  <c r="M21" i="26" s="1"/>
  <c r="T15" i="24"/>
  <c r="T17" i="24"/>
  <c r="F19" i="24"/>
  <c r="B19" i="24"/>
  <c r="D18" i="24" l="1"/>
  <c r="G19" i="24"/>
  <c r="H19" i="24" s="1"/>
  <c r="C19" i="24"/>
  <c r="K22" i="26"/>
  <c r="L22" i="26" s="1"/>
  <c r="M22" i="26" s="1"/>
  <c r="F20" i="24"/>
  <c r="B20" i="24"/>
  <c r="D19" i="24" l="1"/>
  <c r="G20" i="24"/>
  <c r="H20" i="24" s="1"/>
  <c r="C20" i="24"/>
  <c r="K23" i="26"/>
  <c r="L23" i="26" s="1"/>
  <c r="M23" i="26" s="1"/>
  <c r="T19" i="24"/>
  <c r="T18" i="24"/>
  <c r="F21" i="24"/>
  <c r="B21" i="24"/>
  <c r="D20" i="24" l="1"/>
  <c r="G21" i="24"/>
  <c r="H21" i="24" s="1"/>
  <c r="C21" i="24"/>
  <c r="K24" i="26"/>
  <c r="L24" i="26" s="1"/>
  <c r="M24" i="26" s="1"/>
  <c r="T20" i="24"/>
  <c r="B22" i="24"/>
  <c r="F22" i="24"/>
  <c r="D21" i="24" l="1"/>
  <c r="G22" i="24"/>
  <c r="H22" i="24" s="1"/>
  <c r="C22" i="24"/>
  <c r="K25" i="26"/>
  <c r="L25" i="26" s="1"/>
  <c r="M25" i="26" s="1"/>
  <c r="T21" i="24"/>
  <c r="F23" i="24"/>
  <c r="B23" i="24"/>
  <c r="D22" i="24" l="1"/>
  <c r="G23" i="24"/>
  <c r="H23" i="24" s="1"/>
  <c r="C23" i="24"/>
  <c r="K26" i="26"/>
  <c r="L26" i="26" s="1"/>
  <c r="M26" i="26" s="1"/>
  <c r="B24" i="24"/>
  <c r="F24" i="24"/>
  <c r="D23" i="24" l="1"/>
  <c r="G24" i="24"/>
  <c r="H24" i="24" s="1"/>
  <c r="C24" i="24"/>
  <c r="K27" i="26"/>
  <c r="L27" i="26" s="1"/>
  <c r="M27" i="26" s="1"/>
  <c r="T23" i="24"/>
  <c r="T22" i="24"/>
  <c r="F25" i="24"/>
  <c r="B25" i="24"/>
  <c r="D24" i="24" l="1"/>
  <c r="G25" i="24"/>
  <c r="H25" i="24" s="1"/>
  <c r="C25" i="24"/>
  <c r="K28" i="26"/>
  <c r="L28" i="26" s="1"/>
  <c r="M28" i="26" s="1"/>
  <c r="T24" i="24"/>
  <c r="B26" i="24"/>
  <c r="F26" i="24"/>
  <c r="D25" i="24" l="1"/>
  <c r="G26" i="24"/>
  <c r="H26" i="24" s="1"/>
  <c r="C26" i="24"/>
  <c r="K29" i="26"/>
  <c r="L29" i="26" s="1"/>
  <c r="M29" i="26" s="1"/>
  <c r="T25" i="24"/>
  <c r="F27" i="24"/>
  <c r="B27" i="24"/>
  <c r="D26" i="24" l="1"/>
  <c r="G27" i="24"/>
  <c r="H27" i="24" s="1"/>
  <c r="C27" i="24"/>
  <c r="K30" i="26"/>
  <c r="L30" i="26" s="1"/>
  <c r="M30" i="26" s="1"/>
  <c r="B28" i="24"/>
  <c r="F28" i="24"/>
  <c r="D27" i="24" l="1"/>
  <c r="G28" i="24"/>
  <c r="H28" i="24" s="1"/>
  <c r="C28" i="24"/>
  <c r="K31" i="26"/>
  <c r="L31" i="26" s="1"/>
  <c r="M31" i="26" s="1"/>
  <c r="T27" i="24"/>
  <c r="T26" i="24"/>
  <c r="F29" i="24"/>
  <c r="B29" i="24"/>
  <c r="D28" i="24" l="1"/>
  <c r="G29" i="24"/>
  <c r="H29" i="24" s="1"/>
  <c r="C29" i="24"/>
  <c r="K32" i="26"/>
  <c r="L32" i="26" s="1"/>
  <c r="M32" i="26" s="1"/>
  <c r="T28" i="24"/>
  <c r="B30" i="24"/>
  <c r="F30" i="24"/>
  <c r="D29" i="24" l="1"/>
  <c r="G30" i="24"/>
  <c r="H30" i="24" s="1"/>
  <c r="C30" i="24"/>
  <c r="K33" i="26"/>
  <c r="L33" i="26" s="1"/>
  <c r="M33" i="26" s="1"/>
  <c r="T29" i="24"/>
  <c r="B31" i="24"/>
  <c r="F31" i="24"/>
  <c r="D30" i="24" l="1"/>
  <c r="G31" i="24"/>
  <c r="H31" i="24" s="1"/>
  <c r="C31" i="24"/>
  <c r="K34" i="26"/>
  <c r="L34" i="26" s="1"/>
  <c r="M34" i="26" s="1"/>
  <c r="T30" i="24"/>
  <c r="B32" i="24"/>
  <c r="F32" i="24"/>
  <c r="D31" i="24" l="1"/>
  <c r="G32" i="24"/>
  <c r="H32" i="24" s="1"/>
  <c r="C32" i="24"/>
  <c r="K35" i="26"/>
  <c r="L35" i="26" s="1"/>
  <c r="M35" i="26" s="1"/>
  <c r="T31" i="24"/>
  <c r="B33" i="24"/>
  <c r="F33" i="24"/>
  <c r="D32" i="24" l="1"/>
  <c r="G33" i="24"/>
  <c r="H33" i="24" s="1"/>
  <c r="C33" i="24"/>
  <c r="K36" i="26"/>
  <c r="L36" i="26" s="1"/>
  <c r="M36" i="26" s="1"/>
  <c r="F34" i="24"/>
  <c r="B34" i="24"/>
  <c r="D33" i="24" l="1"/>
  <c r="G34" i="24"/>
  <c r="H34" i="24" s="1"/>
  <c r="C34" i="24"/>
  <c r="K37" i="26"/>
  <c r="L37" i="26" s="1"/>
  <c r="M37" i="26" s="1"/>
  <c r="T33" i="24"/>
  <c r="T32" i="24"/>
  <c r="F35" i="24"/>
  <c r="B35" i="24"/>
  <c r="D34" i="24" l="1"/>
  <c r="G35" i="24"/>
  <c r="H35" i="24" s="1"/>
  <c r="C35" i="24"/>
  <c r="K38" i="26"/>
  <c r="L38" i="26" s="1"/>
  <c r="M38" i="26" s="1"/>
  <c r="B36" i="24"/>
  <c r="F36" i="24"/>
  <c r="D35" i="24" l="1"/>
  <c r="G36" i="24"/>
  <c r="H36" i="24" s="1"/>
  <c r="C36" i="24"/>
  <c r="K39" i="26"/>
  <c r="L39" i="26" s="1"/>
  <c r="M39" i="26" s="1"/>
  <c r="T35" i="24"/>
  <c r="T34" i="24"/>
  <c r="B37" i="24"/>
  <c r="F37" i="24"/>
  <c r="D36" i="24" l="1"/>
  <c r="G37" i="24"/>
  <c r="H37" i="24" s="1"/>
  <c r="C37" i="24"/>
  <c r="K40" i="26"/>
  <c r="L40" i="26" s="1"/>
  <c r="M40" i="26" s="1"/>
  <c r="T36" i="24"/>
  <c r="B38" i="24"/>
  <c r="F38" i="24"/>
  <c r="D37" i="24" l="1"/>
  <c r="G38" i="24"/>
  <c r="H38" i="24" s="1"/>
  <c r="C38" i="24"/>
  <c r="K41" i="26"/>
  <c r="L41" i="26" s="1"/>
  <c r="M41" i="26" s="1"/>
  <c r="T37" i="24"/>
  <c r="F39" i="24"/>
  <c r="B39" i="24"/>
  <c r="D38" i="24" l="1"/>
  <c r="G39" i="24"/>
  <c r="H39" i="24" s="1"/>
  <c r="C39" i="24"/>
  <c r="K42" i="26"/>
  <c r="L42" i="26" s="1"/>
  <c r="M42" i="26" s="1"/>
  <c r="T38" i="24"/>
  <c r="B40" i="24"/>
  <c r="F40" i="24"/>
  <c r="D39" i="24" l="1"/>
  <c r="G40" i="24"/>
  <c r="H40" i="24" s="1"/>
  <c r="C40" i="24"/>
  <c r="K43" i="26"/>
  <c r="L43" i="26" s="1"/>
  <c r="M43" i="26" s="1"/>
  <c r="T39" i="24"/>
  <c r="B41" i="24"/>
  <c r="F41" i="24"/>
  <c r="D40" i="24" l="1"/>
  <c r="G41" i="24"/>
  <c r="H41" i="24" s="1"/>
  <c r="C41" i="24"/>
  <c r="K44" i="26"/>
  <c r="L44" i="26" s="1"/>
  <c r="M44" i="26" s="1"/>
  <c r="T40" i="24"/>
  <c r="F42" i="24"/>
  <c r="B42" i="24"/>
  <c r="D41" i="24" l="1"/>
  <c r="G42" i="24"/>
  <c r="H42" i="24" s="1"/>
  <c r="C42" i="24"/>
  <c r="K45" i="26"/>
  <c r="L45" i="26" s="1"/>
  <c r="M45" i="26" s="1"/>
  <c r="T41" i="24"/>
  <c r="B43" i="24"/>
  <c r="D43" i="24" s="1"/>
  <c r="F43" i="24"/>
  <c r="H43" i="24" s="1"/>
  <c r="H10" i="24"/>
  <c r="D42" i="24" l="1"/>
  <c r="G43" i="24"/>
  <c r="C43" i="24"/>
  <c r="K46" i="26"/>
  <c r="L46" i="26" s="1"/>
  <c r="M46" i="26" s="1"/>
  <c r="T42" i="24"/>
  <c r="F44" i="24"/>
  <c r="H44" i="24" s="1"/>
  <c r="B44" i="24"/>
  <c r="D44" i="24" s="1"/>
  <c r="D10" i="24"/>
  <c r="T43" i="24" l="1"/>
  <c r="R43" i="24"/>
  <c r="G44" i="24"/>
  <c r="C44" i="24"/>
  <c r="K47" i="26"/>
  <c r="L47" i="26" s="1"/>
  <c r="M47" i="26" s="1"/>
  <c r="B45" i="24"/>
  <c r="D45" i="24" s="1"/>
  <c r="F45" i="24"/>
  <c r="H45" i="24" s="1"/>
  <c r="T44" i="24" l="1"/>
  <c r="R44" i="24"/>
  <c r="G45" i="24"/>
  <c r="C45" i="24"/>
  <c r="K48" i="26"/>
  <c r="L48" i="26" s="1"/>
  <c r="M48" i="26" s="1"/>
  <c r="F46" i="24"/>
  <c r="H46" i="24" s="1"/>
  <c r="B46" i="24"/>
  <c r="D46" i="24" s="1"/>
  <c r="T45" i="24" l="1"/>
  <c r="R45" i="24"/>
  <c r="G46" i="24"/>
  <c r="C46" i="24"/>
  <c r="K49" i="26"/>
  <c r="L49" i="26" s="1"/>
  <c r="M49" i="26" s="1"/>
  <c r="B47" i="24"/>
  <c r="D47" i="24" s="1"/>
  <c r="F47" i="24"/>
  <c r="H47" i="24" s="1"/>
  <c r="T46" i="24" l="1"/>
  <c r="R46" i="24"/>
  <c r="G47" i="24"/>
  <c r="C47" i="24"/>
  <c r="K50" i="26"/>
  <c r="L50" i="26" s="1"/>
  <c r="M50" i="26" s="1"/>
  <c r="F48" i="24"/>
  <c r="H48" i="24" s="1"/>
  <c r="B48" i="24"/>
  <c r="D48" i="24" s="1"/>
  <c r="T47" i="24" l="1"/>
  <c r="R47" i="24"/>
  <c r="G48" i="24"/>
  <c r="C48" i="24"/>
  <c r="K51" i="26"/>
  <c r="L51" i="26" s="1"/>
  <c r="M51" i="26" s="1"/>
  <c r="B49" i="24"/>
  <c r="D49" i="24" s="1"/>
  <c r="F49" i="24"/>
  <c r="H49" i="24" s="1"/>
  <c r="T48" i="24" l="1"/>
  <c r="R48" i="24"/>
  <c r="G49" i="24"/>
  <c r="C49" i="24"/>
  <c r="K52" i="26"/>
  <c r="L52" i="26" s="1"/>
  <c r="M52" i="26" s="1"/>
  <c r="B50" i="24"/>
  <c r="D50" i="24" s="1"/>
  <c r="F50" i="24"/>
  <c r="H50" i="24" s="1"/>
  <c r="T49" i="24" l="1"/>
  <c r="R49" i="24"/>
  <c r="G50" i="24"/>
  <c r="C50" i="24"/>
  <c r="K53" i="26"/>
  <c r="L53" i="26" s="1"/>
  <c r="M53" i="26" s="1"/>
  <c r="F51" i="24"/>
  <c r="H51" i="24" s="1"/>
  <c r="B51" i="24"/>
  <c r="D51" i="24" s="1"/>
  <c r="T50" i="24" l="1"/>
  <c r="R50" i="24"/>
  <c r="G51" i="24"/>
  <c r="C51" i="24"/>
  <c r="K54" i="26"/>
  <c r="L54" i="26" s="1"/>
  <c r="M54" i="26" s="1"/>
  <c r="B52" i="24"/>
  <c r="D52" i="24" s="1"/>
  <c r="F52" i="24"/>
  <c r="H52" i="24" s="1"/>
  <c r="T51" i="24" l="1"/>
  <c r="R51" i="24"/>
  <c r="G52" i="24"/>
  <c r="C52" i="24"/>
  <c r="K55" i="26"/>
  <c r="L55" i="26" s="1"/>
  <c r="M55" i="26" s="1"/>
  <c r="B53" i="24"/>
  <c r="D53" i="24" s="1"/>
  <c r="F53" i="24"/>
  <c r="H53" i="24" s="1"/>
  <c r="T52" i="24" l="1"/>
  <c r="R52" i="24"/>
  <c r="G53" i="24"/>
  <c r="C53" i="24"/>
  <c r="K56" i="26"/>
  <c r="L56" i="26" s="1"/>
  <c r="M56" i="26" s="1"/>
  <c r="F54" i="24"/>
  <c r="H54" i="24" s="1"/>
  <c r="B54" i="24"/>
  <c r="D54" i="24" s="1"/>
  <c r="T53" i="24" l="1"/>
  <c r="R53" i="24"/>
  <c r="G54" i="24"/>
  <c r="C54" i="24"/>
  <c r="K57" i="26"/>
  <c r="L57" i="26" s="1"/>
  <c r="M57" i="26" s="1"/>
  <c r="B55" i="24"/>
  <c r="D55" i="24" s="1"/>
  <c r="F55" i="24"/>
  <c r="H55" i="24" s="1"/>
  <c r="T54" i="24" l="1"/>
  <c r="R54" i="24"/>
  <c r="G55" i="24"/>
  <c r="C55" i="24"/>
  <c r="K58" i="26"/>
  <c r="L58" i="26" s="1"/>
  <c r="M58" i="26" s="1"/>
  <c r="B56" i="24"/>
  <c r="D56" i="24" s="1"/>
  <c r="F56" i="24"/>
  <c r="H56" i="24" s="1"/>
  <c r="T55" i="24" l="1"/>
  <c r="R55" i="24"/>
  <c r="G56" i="24"/>
  <c r="C56" i="24"/>
  <c r="K59" i="26"/>
  <c r="L59" i="26" s="1"/>
  <c r="M59" i="26" s="1"/>
  <c r="F57" i="24"/>
  <c r="H57" i="24" s="1"/>
  <c r="B57" i="24"/>
  <c r="D57" i="24" s="1"/>
  <c r="T56" i="24" l="1"/>
  <c r="R56" i="24"/>
  <c r="G57" i="24"/>
  <c r="C57" i="24"/>
  <c r="K60" i="26"/>
  <c r="L60" i="26" s="1"/>
  <c r="M60" i="26" s="1"/>
  <c r="B58" i="24"/>
  <c r="D58" i="24" s="1"/>
  <c r="F58" i="24"/>
  <c r="H58" i="24" s="1"/>
  <c r="T57" i="24" l="1"/>
  <c r="R57" i="24"/>
  <c r="G58" i="24"/>
  <c r="C58" i="24"/>
  <c r="K61" i="26"/>
  <c r="L61" i="26" s="1"/>
  <c r="M61" i="26" s="1"/>
  <c r="F59" i="24"/>
  <c r="H59" i="24" s="1"/>
  <c r="B59" i="24"/>
  <c r="D59" i="24" s="1"/>
  <c r="T58" i="24" l="1"/>
  <c r="R58" i="24"/>
  <c r="G59" i="24"/>
  <c r="C59" i="24"/>
  <c r="K62" i="26"/>
  <c r="L62" i="26" s="1"/>
  <c r="M62" i="26" s="1"/>
  <c r="F5" i="26" s="1"/>
  <c r="F60" i="24"/>
  <c r="H60" i="24" s="1"/>
  <c r="B60" i="24"/>
  <c r="D60" i="24" s="1"/>
  <c r="T59" i="24" l="1"/>
  <c r="R59" i="24"/>
  <c r="G60" i="24"/>
  <c r="C60" i="24"/>
  <c r="F12" i="26"/>
  <c r="F6" i="26"/>
  <c r="K63" i="26"/>
  <c r="L63" i="26" s="1"/>
  <c r="M63" i="26" s="1"/>
  <c r="B61" i="24"/>
  <c r="D61" i="24" s="1"/>
  <c r="F61" i="24"/>
  <c r="H61" i="24" s="1"/>
  <c r="T60" i="24" l="1"/>
  <c r="R60" i="24"/>
  <c r="G61" i="24"/>
  <c r="C61" i="24"/>
  <c r="F13" i="26"/>
  <c r="F14" i="26" s="1"/>
  <c r="F18" i="26"/>
  <c r="K64" i="26"/>
  <c r="L64" i="26" s="1"/>
  <c r="M64" i="26" s="1"/>
  <c r="F62" i="24"/>
  <c r="H62" i="24" s="1"/>
  <c r="B62" i="24"/>
  <c r="D62" i="24" s="1"/>
  <c r="T61" i="24" l="1"/>
  <c r="R61" i="24"/>
  <c r="G62" i="24"/>
  <c r="C62" i="24"/>
  <c r="K65" i="26"/>
  <c r="L65" i="26" s="1"/>
  <c r="M65" i="26" s="1"/>
  <c r="K66" i="26" l="1"/>
  <c r="L66" i="26" s="1"/>
  <c r="M66" i="26" s="1"/>
  <c r="F9" i="24"/>
  <c r="T62" i="24"/>
  <c r="R62" i="24"/>
  <c r="D21" i="23"/>
  <c r="C20" i="23"/>
  <c r="K67" i="26" l="1"/>
  <c r="L67" i="26" s="1"/>
  <c r="M67" i="26" s="1"/>
  <c r="D22" i="23"/>
  <c r="D23" i="23" s="1"/>
  <c r="D24" i="23" s="1"/>
  <c r="D25" i="23" s="1"/>
  <c r="D26" i="23" s="1"/>
  <c r="D27" i="23" s="1"/>
  <c r="D28" i="23" s="1"/>
  <c r="D29" i="23" s="1"/>
  <c r="D30" i="23" s="1"/>
  <c r="D31" i="23" s="1"/>
  <c r="D32" i="23" s="1"/>
  <c r="D33" i="23" s="1"/>
  <c r="D34" i="23" s="1"/>
  <c r="D35" i="23" s="1"/>
  <c r="D36" i="23" s="1"/>
  <c r="D37" i="23" s="1"/>
  <c r="D38" i="23" s="1"/>
  <c r="D39" i="23" s="1"/>
  <c r="D40" i="23" s="1"/>
  <c r="D41" i="23" s="1"/>
  <c r="D42" i="23" s="1"/>
  <c r="D43" i="23" s="1"/>
  <c r="D44" i="23" s="1"/>
  <c r="D45" i="23" s="1"/>
  <c r="D46" i="23" s="1"/>
  <c r="D47" i="23" s="1"/>
  <c r="D48" i="23" s="1"/>
  <c r="D49" i="23" s="1"/>
  <c r="D50" i="23" s="1"/>
  <c r="D51" i="23" s="1"/>
  <c r="D52" i="23" s="1"/>
  <c r="D53" i="23" s="1"/>
  <c r="D54" i="23" s="1"/>
  <c r="D55" i="23" s="1"/>
  <c r="D56" i="23" s="1"/>
  <c r="D57" i="23" s="1"/>
  <c r="D58" i="23" s="1"/>
  <c r="D59" i="23" s="1"/>
  <c r="D60" i="23" s="1"/>
  <c r="D61" i="23" s="1"/>
  <c r="D62" i="23" s="1"/>
  <c r="D63" i="23" s="1"/>
  <c r="D64" i="23" s="1"/>
  <c r="D65" i="23" s="1"/>
  <c r="D66" i="23" s="1"/>
  <c r="D67" i="23" s="1"/>
  <c r="D68" i="23" s="1"/>
  <c r="D69" i="23" s="1"/>
  <c r="E20" i="23"/>
  <c r="F20" i="23" s="1"/>
  <c r="K68" i="26" l="1"/>
  <c r="L68" i="26" s="1"/>
  <c r="M68" i="26" s="1"/>
  <c r="C21" i="23"/>
  <c r="E21" i="23" s="1"/>
  <c r="F21" i="23" s="1"/>
  <c r="K69" i="26" l="1"/>
  <c r="L69" i="26" s="1"/>
  <c r="M69" i="26" s="1"/>
  <c r="C22" i="23"/>
  <c r="E22" i="23" s="1"/>
  <c r="F22" i="23" s="1"/>
  <c r="K70" i="26" l="1"/>
  <c r="L70" i="26" s="1"/>
  <c r="M70" i="26" s="1"/>
  <c r="C23" i="23"/>
  <c r="E23" i="23" s="1"/>
  <c r="K71" i="26" l="1"/>
  <c r="L71" i="26" s="1"/>
  <c r="M71" i="26" s="1"/>
  <c r="F23" i="23"/>
  <c r="C24" i="23" s="1"/>
  <c r="E24" i="23" s="1"/>
  <c r="F10" i="21"/>
  <c r="F13" i="21"/>
  <c r="J6" i="21" s="1"/>
  <c r="G9" i="20"/>
  <c r="B14" i="20" s="1"/>
  <c r="K72" i="26" l="1"/>
  <c r="L72" i="26" s="1"/>
  <c r="M72" i="26" s="1"/>
  <c r="G14" i="20"/>
  <c r="E14" i="20"/>
  <c r="C14" i="20"/>
  <c r="F14" i="20"/>
  <c r="D14" i="20"/>
  <c r="F24" i="23"/>
  <c r="C25" i="23" s="1"/>
  <c r="E25" i="23" s="1"/>
  <c r="F25" i="23" s="1"/>
  <c r="C26" i="23" s="1"/>
  <c r="E26" i="23" s="1"/>
  <c r="F26" i="23" s="1"/>
  <c r="G10" i="20"/>
  <c r="K5" i="20" s="1"/>
  <c r="K8" i="20" s="1"/>
  <c r="K73" i="26" l="1"/>
  <c r="L73" i="26" s="1"/>
  <c r="M73" i="26" s="1"/>
  <c r="C27" i="23"/>
  <c r="E27" i="23" s="1"/>
  <c r="F27" i="23" s="1"/>
  <c r="O4" i="22"/>
  <c r="S9" i="22" s="1"/>
  <c r="E18" i="20"/>
  <c r="E19" i="20"/>
  <c r="E20" i="20"/>
  <c r="E21" i="20"/>
  <c r="E22" i="20"/>
  <c r="E17" i="20"/>
  <c r="K74" i="26" l="1"/>
  <c r="L74" i="26" s="1"/>
  <c r="M74" i="26" s="1"/>
  <c r="L15" i="22"/>
  <c r="M15" i="22"/>
  <c r="K75" i="26" l="1"/>
  <c r="L75" i="26" s="1"/>
  <c r="M75" i="26" s="1"/>
  <c r="C28" i="23"/>
  <c r="E28" i="23" s="1"/>
  <c r="F28" i="23" s="1"/>
  <c r="F11" i="21"/>
  <c r="G22" i="20"/>
  <c r="F22" i="20"/>
  <c r="D22" i="20"/>
  <c r="C22" i="20"/>
  <c r="G21" i="20"/>
  <c r="F21" i="20"/>
  <c r="D21" i="20"/>
  <c r="C21" i="20"/>
  <c r="G20" i="20"/>
  <c r="F20" i="20"/>
  <c r="D20" i="20"/>
  <c r="C20" i="20"/>
  <c r="G19" i="20"/>
  <c r="F19" i="20"/>
  <c r="D19" i="20"/>
  <c r="C19" i="20"/>
  <c r="G18" i="20"/>
  <c r="F18" i="20"/>
  <c r="D18" i="20"/>
  <c r="C18" i="20"/>
  <c r="G17" i="20"/>
  <c r="F17" i="20"/>
  <c r="D17" i="20"/>
  <c r="G5" i="20"/>
  <c r="L5" i="20" s="1"/>
  <c r="K76" i="26" l="1"/>
  <c r="L76" i="26" s="1"/>
  <c r="M76" i="26" s="1"/>
  <c r="L8" i="20"/>
  <c r="O9" i="20"/>
  <c r="C29" i="23"/>
  <c r="E29" i="23" s="1"/>
  <c r="F29" i="23" s="1"/>
  <c r="F12" i="21"/>
  <c r="F15" i="21" s="1"/>
  <c r="N4" i="21" s="1"/>
  <c r="K77" i="26" l="1"/>
  <c r="L77" i="26" s="1"/>
  <c r="M77" i="26" s="1"/>
  <c r="K6" i="21"/>
  <c r="C30" i="23"/>
  <c r="E30" i="23" s="1"/>
  <c r="F30" i="23" s="1"/>
  <c r="K78" i="26" l="1"/>
  <c r="L78" i="26" s="1"/>
  <c r="M78" i="26" s="1"/>
  <c r="C31" i="23"/>
  <c r="E31" i="23" s="1"/>
  <c r="F31" i="23" s="1"/>
  <c r="K79" i="26" l="1"/>
  <c r="L79" i="26" s="1"/>
  <c r="M79" i="26" s="1"/>
  <c r="C32" i="23"/>
  <c r="E32" i="23" s="1"/>
  <c r="F32" i="23" s="1"/>
  <c r="K80" i="26" l="1"/>
  <c r="L80" i="26" s="1"/>
  <c r="M80" i="26" s="1"/>
  <c r="C33" i="23"/>
  <c r="E33" i="23" s="1"/>
  <c r="F33" i="23" s="1"/>
  <c r="K81" i="26" l="1"/>
  <c r="L81" i="26" s="1"/>
  <c r="M81" i="26" s="1"/>
  <c r="C34" i="23"/>
  <c r="E34" i="23" s="1"/>
  <c r="F34" i="23" s="1"/>
  <c r="K82" i="26" l="1"/>
  <c r="L82" i="26" s="1"/>
  <c r="M82" i="26" s="1"/>
  <c r="C35" i="23"/>
  <c r="E35" i="23" s="1"/>
  <c r="F35" i="23" s="1"/>
  <c r="K83" i="26" l="1"/>
  <c r="L83" i="26" s="1"/>
  <c r="M83" i="26" s="1"/>
  <c r="C36" i="23"/>
  <c r="E36" i="23" s="1"/>
  <c r="F36" i="23" s="1"/>
  <c r="K84" i="26" l="1"/>
  <c r="L84" i="26" s="1"/>
  <c r="M84" i="26" s="1"/>
  <c r="C37" i="23"/>
  <c r="E37" i="23" s="1"/>
  <c r="F37" i="23" s="1"/>
  <c r="K85" i="26" l="1"/>
  <c r="L85" i="26" s="1"/>
  <c r="M85" i="26" s="1"/>
  <c r="C38" i="23"/>
  <c r="E38" i="23" s="1"/>
  <c r="F38" i="23" s="1"/>
  <c r="K86" i="26" l="1"/>
  <c r="L86" i="26" s="1"/>
  <c r="M86" i="26" s="1"/>
  <c r="C39" i="23"/>
  <c r="E39" i="23" s="1"/>
  <c r="F39" i="23" s="1"/>
  <c r="K87" i="26" l="1"/>
  <c r="L87" i="26" s="1"/>
  <c r="M87" i="26" s="1"/>
  <c r="C40" i="23"/>
  <c r="E40" i="23" s="1"/>
  <c r="F40" i="23" s="1"/>
  <c r="K88" i="26" l="1"/>
  <c r="L88" i="26" s="1"/>
  <c r="M88" i="26" s="1"/>
  <c r="C41" i="23"/>
  <c r="E41" i="23" s="1"/>
  <c r="F41" i="23" s="1"/>
  <c r="K89" i="26" l="1"/>
  <c r="L89" i="26" s="1"/>
  <c r="M89" i="26" s="1"/>
  <c r="C42" i="23"/>
  <c r="E42" i="23" s="1"/>
  <c r="F42" i="23" s="1"/>
  <c r="K90" i="26" l="1"/>
  <c r="L90" i="26" s="1"/>
  <c r="M90" i="26" s="1"/>
  <c r="C43" i="23"/>
  <c r="E43" i="23" s="1"/>
  <c r="F43" i="23" s="1"/>
  <c r="K91" i="26" l="1"/>
  <c r="L91" i="26" s="1"/>
  <c r="M91" i="26" s="1"/>
  <c r="C44" i="23"/>
  <c r="E44" i="23" s="1"/>
  <c r="F44" i="23" s="1"/>
  <c r="K92" i="26" l="1"/>
  <c r="L92" i="26" s="1"/>
  <c r="M92" i="26" s="1"/>
  <c r="C45" i="23"/>
  <c r="E45" i="23" s="1"/>
  <c r="F45" i="23" s="1"/>
  <c r="K93" i="26" l="1"/>
  <c r="L93" i="26" s="1"/>
  <c r="M93" i="26" s="1"/>
  <c r="C46" i="23"/>
  <c r="E46" i="23" s="1"/>
  <c r="F46" i="23" s="1"/>
  <c r="K94" i="26" l="1"/>
  <c r="L94" i="26" s="1"/>
  <c r="M94" i="26" s="1"/>
  <c r="C47" i="23"/>
  <c r="E47" i="23" s="1"/>
  <c r="F47" i="23" s="1"/>
  <c r="K95" i="26" l="1"/>
  <c r="L95" i="26" s="1"/>
  <c r="M95" i="26" s="1"/>
  <c r="C48" i="23"/>
  <c r="E48" i="23" s="1"/>
  <c r="F48" i="23" s="1"/>
  <c r="K96" i="26" l="1"/>
  <c r="L96" i="26" s="1"/>
  <c r="M96" i="26" s="1"/>
  <c r="C49" i="23"/>
  <c r="E49" i="23" s="1"/>
  <c r="F49" i="23" s="1"/>
  <c r="K97" i="26" l="1"/>
  <c r="L97" i="26" s="1"/>
  <c r="M97" i="26" s="1"/>
  <c r="C50" i="23"/>
  <c r="E50" i="23" s="1"/>
  <c r="F50" i="23" s="1"/>
  <c r="K98" i="26" l="1"/>
  <c r="L98" i="26" s="1"/>
  <c r="M98" i="26" s="1"/>
  <c r="C51" i="23"/>
  <c r="E51" i="23" s="1"/>
  <c r="F51" i="23" s="1"/>
  <c r="K99" i="26" l="1"/>
  <c r="L99" i="26" s="1"/>
  <c r="M99" i="26" s="1"/>
  <c r="C52" i="23"/>
  <c r="E52" i="23" s="1"/>
  <c r="F52" i="23" s="1"/>
  <c r="K100" i="26" l="1"/>
  <c r="L100" i="26" s="1"/>
  <c r="M100" i="26" s="1"/>
  <c r="C53" i="23"/>
  <c r="E53" i="23" s="1"/>
  <c r="F53" i="23" s="1"/>
  <c r="K101" i="26" l="1"/>
  <c r="L101" i="26" s="1"/>
  <c r="M101" i="26" s="1"/>
  <c r="C54" i="23"/>
  <c r="E54" i="23" s="1"/>
  <c r="F54" i="23" s="1"/>
  <c r="K102" i="26" l="1"/>
  <c r="L102" i="26" s="1"/>
  <c r="M102" i="26" s="1"/>
  <c r="C55" i="23"/>
  <c r="E55" i="23" s="1"/>
  <c r="F55" i="23" s="1"/>
  <c r="K103" i="26" l="1"/>
  <c r="L103" i="26" s="1"/>
  <c r="M103" i="26" s="1"/>
  <c r="C56" i="23"/>
  <c r="E56" i="23" s="1"/>
  <c r="F56" i="23" s="1"/>
  <c r="K104" i="26" l="1"/>
  <c r="L104" i="26" s="1"/>
  <c r="M104" i="26" s="1"/>
  <c r="C57" i="23"/>
  <c r="E57" i="23" s="1"/>
  <c r="F57" i="23" s="1"/>
  <c r="K105" i="26" l="1"/>
  <c r="L105" i="26" s="1"/>
  <c r="M105" i="26" s="1"/>
  <c r="C58" i="23"/>
  <c r="E58" i="23" s="1"/>
  <c r="F58" i="23" s="1"/>
  <c r="K106" i="26" l="1"/>
  <c r="L106" i="26" s="1"/>
  <c r="M106" i="26" s="1"/>
  <c r="C59" i="23"/>
  <c r="E59" i="23" s="1"/>
  <c r="F59" i="23" s="1"/>
  <c r="K107" i="26" l="1"/>
  <c r="L107" i="26" s="1"/>
  <c r="M107" i="26" s="1"/>
  <c r="C60" i="23"/>
  <c r="E60" i="23" s="1"/>
  <c r="F60" i="23" s="1"/>
  <c r="K108" i="26" l="1"/>
  <c r="L108" i="26" s="1"/>
  <c r="M108" i="26" s="1"/>
  <c r="C61" i="23"/>
  <c r="E61" i="23" s="1"/>
  <c r="F61" i="23" s="1"/>
  <c r="K109" i="26" l="1"/>
  <c r="L109" i="26" s="1"/>
  <c r="M109" i="26" s="1"/>
  <c r="C62" i="23"/>
  <c r="E62" i="23" s="1"/>
  <c r="F62" i="23" s="1"/>
  <c r="K110" i="26" l="1"/>
  <c r="L110" i="26" s="1"/>
  <c r="M110" i="26" s="1"/>
  <c r="C63" i="23"/>
  <c r="E63" i="23" s="1"/>
  <c r="F63" i="23" s="1"/>
  <c r="K111" i="26" l="1"/>
  <c r="L111" i="26" s="1"/>
  <c r="M111" i="26" s="1"/>
  <c r="C64" i="23"/>
  <c r="E64" i="23" s="1"/>
  <c r="F64" i="23" s="1"/>
  <c r="K112" i="26" l="1"/>
  <c r="L112" i="26" s="1"/>
  <c r="M112" i="26" s="1"/>
  <c r="C65" i="23"/>
  <c r="E65" i="23" s="1"/>
  <c r="F65" i="23" s="1"/>
  <c r="K113" i="26" l="1"/>
  <c r="L113" i="26" s="1"/>
  <c r="M113" i="26" s="1"/>
  <c r="C66" i="23"/>
  <c r="E66" i="23" s="1"/>
  <c r="F66" i="23" s="1"/>
  <c r="K114" i="26" l="1"/>
  <c r="L114" i="26" s="1"/>
  <c r="M114" i="26" s="1"/>
  <c r="C67" i="23"/>
  <c r="E67" i="23" s="1"/>
  <c r="F67" i="23" s="1"/>
  <c r="K115" i="26" l="1"/>
  <c r="L115" i="26" s="1"/>
  <c r="M115" i="26" s="1"/>
  <c r="C68" i="23"/>
  <c r="E68" i="23" s="1"/>
  <c r="F68" i="23" s="1"/>
  <c r="K116" i="26" l="1"/>
  <c r="L116" i="26" s="1"/>
  <c r="M116" i="26" s="1"/>
  <c r="C69" i="23"/>
  <c r="E69" i="23" s="1"/>
  <c r="K117" i="26" l="1"/>
  <c r="L117" i="26" s="1"/>
  <c r="M117" i="26" s="1"/>
  <c r="G18" i="23" a="1"/>
  <c r="G18" i="23" s="1"/>
  <c r="K11" i="23" s="1"/>
  <c r="F69" i="23"/>
  <c r="K118" i="26" l="1"/>
  <c r="L118" i="26" s="1"/>
  <c r="M118" i="26" s="1"/>
  <c r="J11" i="23"/>
  <c r="K119" i="26" l="1"/>
  <c r="L119" i="26" s="1"/>
  <c r="M119" i="26" s="1"/>
  <c r="K120" i="26" l="1"/>
  <c r="L120" i="26" s="1"/>
  <c r="M120" i="26" s="1"/>
  <c r="K121" i="26" l="1"/>
  <c r="L121" i="26" s="1"/>
  <c r="M121" i="26" s="1"/>
  <c r="K122" i="26" l="1"/>
  <c r="L122" i="26" s="1"/>
  <c r="M122" i="26" s="1"/>
  <c r="K123" i="26" l="1"/>
  <c r="L123" i="26" s="1"/>
  <c r="M123" i="26" s="1"/>
  <c r="K124" i="26" l="1"/>
  <c r="L124" i="26" s="1"/>
  <c r="M124" i="26" s="1"/>
  <c r="K125" i="26" l="1"/>
  <c r="L125" i="26" s="1"/>
  <c r="M125" i="26" s="1"/>
  <c r="K126" i="26" l="1"/>
  <c r="L126" i="26" s="1"/>
  <c r="M126" i="26" s="1"/>
  <c r="K127" i="26" l="1"/>
  <c r="L127" i="26" s="1"/>
  <c r="M127" i="26" s="1"/>
  <c r="K128" i="26" l="1"/>
  <c r="L128" i="26" s="1"/>
  <c r="M128" i="26" s="1"/>
  <c r="K129" i="26" l="1"/>
  <c r="L129" i="26" s="1"/>
  <c r="M129" i="26" s="1"/>
  <c r="K130" i="26" l="1"/>
  <c r="L130" i="26" s="1"/>
  <c r="M130" i="26" s="1"/>
  <c r="K131" i="26" l="1"/>
  <c r="L131" i="26" s="1"/>
  <c r="M131" i="26" s="1"/>
  <c r="K132" i="26" l="1"/>
  <c r="L132" i="26" s="1"/>
  <c r="M132" i="26" s="1"/>
  <c r="K133" i="26" l="1"/>
  <c r="L133" i="26" s="1"/>
  <c r="M133" i="26" s="1"/>
  <c r="K134" i="26" l="1"/>
  <c r="L134" i="26" s="1"/>
  <c r="M134" i="26" s="1"/>
  <c r="K135" i="26" l="1"/>
  <c r="L135" i="26" s="1"/>
  <c r="M135" i="26" s="1"/>
  <c r="K136" i="26" l="1"/>
  <c r="L136" i="26" s="1"/>
  <c r="M136" i="26" s="1"/>
  <c r="K137" i="26" l="1"/>
  <c r="L137" i="26" s="1"/>
  <c r="M137" i="26" s="1"/>
  <c r="K138" i="26" l="1"/>
  <c r="L138" i="26" s="1"/>
  <c r="M138" i="26" s="1"/>
  <c r="K139" i="26" l="1"/>
  <c r="L139" i="26" s="1"/>
  <c r="M139" i="26" s="1"/>
  <c r="K140" i="26" l="1"/>
  <c r="L140" i="26" s="1"/>
  <c r="M140" i="26" s="1"/>
  <c r="K141" i="26" l="1"/>
  <c r="L141" i="26" s="1"/>
  <c r="M141" i="26" s="1"/>
  <c r="K142" i="26" l="1"/>
  <c r="L142" i="26" s="1"/>
  <c r="M142" i="26" s="1"/>
  <c r="K143" i="26" l="1"/>
  <c r="L143" i="26" s="1"/>
  <c r="M143" i="26" s="1"/>
  <c r="K144" i="26" l="1"/>
  <c r="L144" i="26" s="1"/>
  <c r="M144" i="26" s="1"/>
  <c r="K145" i="26" l="1"/>
  <c r="L145" i="26" s="1"/>
  <c r="M145" i="26" s="1"/>
  <c r="K146" i="26" l="1"/>
  <c r="L146" i="26" s="1"/>
  <c r="M146" i="26" s="1"/>
  <c r="K147" i="26" l="1"/>
  <c r="L147" i="26" s="1"/>
  <c r="M147" i="26" s="1"/>
  <c r="K148" i="26" l="1"/>
  <c r="L148" i="26" s="1"/>
  <c r="M148" i="26" s="1"/>
  <c r="K149" i="26" l="1"/>
  <c r="L149" i="26" s="1"/>
  <c r="M149" i="26" s="1"/>
  <c r="K150" i="26" l="1"/>
  <c r="L150" i="26" s="1"/>
  <c r="M150" i="26" s="1"/>
  <c r="K151" i="26" l="1"/>
  <c r="L151" i="26" s="1"/>
  <c r="M151" i="26" s="1"/>
  <c r="K152" i="26" l="1"/>
  <c r="L152" i="26" s="1"/>
  <c r="M152" i="26" s="1"/>
  <c r="K153" i="26" l="1"/>
  <c r="L153" i="26" s="1"/>
  <c r="M153" i="26" s="1"/>
  <c r="K154" i="26" l="1"/>
  <c r="L154" i="26" s="1"/>
  <c r="M154" i="26" s="1"/>
  <c r="K155" i="26" l="1"/>
  <c r="L155" i="26" s="1"/>
  <c r="M155" i="26" s="1"/>
  <c r="K156" i="26" l="1"/>
  <c r="L156" i="26" s="1"/>
  <c r="M156" i="26" s="1"/>
  <c r="K157" i="26" l="1"/>
  <c r="L157" i="26" s="1"/>
  <c r="M157" i="26" s="1"/>
  <c r="K158" i="26" l="1"/>
  <c r="L158" i="26" s="1"/>
  <c r="M158" i="26" s="1"/>
  <c r="K159" i="26" l="1"/>
  <c r="L159" i="26" s="1"/>
  <c r="M159" i="26" s="1"/>
  <c r="K160" i="26" l="1"/>
  <c r="L160" i="26" s="1"/>
  <c r="M160" i="26" s="1"/>
  <c r="K161" i="26" l="1"/>
  <c r="L161" i="26" s="1"/>
  <c r="M161" i="26" s="1"/>
  <c r="K162" i="26" l="1"/>
  <c r="L162" i="26" s="1"/>
  <c r="M162" i="26" s="1"/>
  <c r="K163" i="26" l="1"/>
  <c r="L163" i="26" s="1"/>
  <c r="M163" i="26" s="1"/>
  <c r="K164" i="26" l="1"/>
  <c r="L164" i="26" s="1"/>
  <c r="M164" i="26" s="1"/>
  <c r="K165" i="26" l="1"/>
  <c r="L165" i="26" s="1"/>
  <c r="M165" i="26" s="1"/>
  <c r="K166" i="26" l="1"/>
  <c r="L166" i="26" s="1"/>
  <c r="M166" i="26" s="1"/>
  <c r="K167" i="26" l="1"/>
  <c r="L167" i="26" s="1"/>
  <c r="M167" i="26" s="1"/>
  <c r="K168" i="26" l="1"/>
  <c r="L168" i="26" s="1"/>
  <c r="M168" i="26" s="1"/>
  <c r="K169" i="26" l="1"/>
  <c r="L169" i="26" s="1"/>
  <c r="M169" i="26" s="1"/>
  <c r="K170" i="26" l="1"/>
  <c r="L170" i="26" s="1"/>
  <c r="M170" i="26" s="1"/>
  <c r="K171" i="26" l="1"/>
  <c r="L171" i="26" s="1"/>
  <c r="M171" i="26" s="1"/>
  <c r="K172" i="26" l="1"/>
  <c r="L172" i="26" s="1"/>
  <c r="M172" i="26" s="1"/>
  <c r="K173" i="26" l="1"/>
  <c r="L173" i="26" s="1"/>
  <c r="M173" i="26" s="1"/>
  <c r="K174" i="26" l="1"/>
  <c r="L174" i="26" s="1"/>
  <c r="M174" i="26" s="1"/>
  <c r="K175" i="26" l="1"/>
  <c r="L175" i="26" s="1"/>
  <c r="M175" i="26" s="1"/>
  <c r="K176" i="26" l="1"/>
  <c r="L176" i="26" s="1"/>
  <c r="M176" i="26" s="1"/>
  <c r="K177" i="26" l="1"/>
  <c r="L177" i="26" s="1"/>
  <c r="M177" i="26" s="1"/>
  <c r="K178" i="26" l="1"/>
  <c r="L178" i="26" s="1"/>
  <c r="M178" i="26" s="1"/>
  <c r="K179" i="26" l="1"/>
  <c r="L179" i="26" s="1"/>
  <c r="M179" i="26" s="1"/>
  <c r="K180" i="26" l="1"/>
  <c r="L180" i="26" s="1"/>
  <c r="M180" i="26" s="1"/>
  <c r="K181" i="26" l="1"/>
  <c r="L181" i="26" s="1"/>
  <c r="M181" i="26" s="1"/>
  <c r="K182" i="26" l="1"/>
  <c r="L182" i="26" s="1"/>
  <c r="M182" i="26" s="1"/>
  <c r="K183" i="26" l="1"/>
  <c r="L183" i="26" s="1"/>
  <c r="M183" i="26" s="1"/>
  <c r="K184" i="26" l="1"/>
  <c r="L184" i="26" s="1"/>
  <c r="M184" i="26" s="1"/>
  <c r="K185" i="26" l="1"/>
  <c r="L185" i="26" s="1"/>
  <c r="M185" i="26" s="1"/>
  <c r="K186" i="26" l="1"/>
  <c r="L186" i="26" s="1"/>
  <c r="M186" i="26" s="1"/>
  <c r="K187" i="26" l="1"/>
  <c r="L187" i="26" s="1"/>
  <c r="M187" i="26" s="1"/>
  <c r="K188" i="26" l="1"/>
  <c r="L188" i="26" s="1"/>
  <c r="M188" i="26" s="1"/>
  <c r="K189" i="26" l="1"/>
  <c r="L189" i="26" s="1"/>
  <c r="M189" i="26" s="1"/>
  <c r="K190" i="26" l="1"/>
  <c r="L190" i="26" s="1"/>
  <c r="M190" i="26" s="1"/>
  <c r="K191" i="26" l="1"/>
  <c r="L191" i="26" s="1"/>
  <c r="M191" i="26" s="1"/>
  <c r="K192" i="26" l="1"/>
  <c r="L192" i="26" s="1"/>
  <c r="M192" i="26" s="1"/>
  <c r="K193" i="26" l="1"/>
  <c r="L193" i="26" s="1"/>
  <c r="M193" i="26" s="1"/>
  <c r="K194" i="26" l="1"/>
  <c r="L194" i="26" s="1"/>
  <c r="M194" i="26" s="1"/>
  <c r="K195" i="26" l="1"/>
  <c r="L195" i="26" s="1"/>
  <c r="M195" i="26" s="1"/>
  <c r="K196" i="26" l="1"/>
  <c r="L196" i="26" s="1"/>
  <c r="M196" i="26" s="1"/>
  <c r="K197" i="26" l="1"/>
  <c r="L197" i="26" s="1"/>
  <c r="M197" i="26" s="1"/>
  <c r="K198" i="26" l="1"/>
  <c r="L198" i="26" s="1"/>
  <c r="M198" i="26" s="1"/>
  <c r="K199" i="26" l="1"/>
  <c r="L199" i="26" s="1"/>
  <c r="M199" i="26" s="1"/>
  <c r="K200" i="26" l="1"/>
  <c r="L200" i="26" s="1"/>
  <c r="M200" i="26" s="1"/>
  <c r="K201" i="26" l="1"/>
  <c r="L201" i="26" s="1"/>
  <c r="M201" i="26" s="1"/>
  <c r="K202" i="26" l="1"/>
  <c r="L202" i="26" s="1"/>
  <c r="M202" i="26" s="1"/>
  <c r="K203" i="26" l="1"/>
  <c r="L203" i="26" s="1"/>
  <c r="M203" i="26" s="1"/>
  <c r="K204" i="26" l="1"/>
  <c r="L204" i="26" s="1"/>
  <c r="M204" i="26" s="1"/>
  <c r="K205" i="26" l="1"/>
  <c r="L205" i="26" s="1"/>
  <c r="M205" i="26" s="1"/>
  <c r="K206" i="26" l="1"/>
  <c r="L206" i="26" s="1"/>
  <c r="M206" i="26" s="1"/>
  <c r="K207" i="26" l="1"/>
  <c r="L207" i="26" s="1"/>
  <c r="M207" i="26" s="1"/>
  <c r="K208" i="26" l="1"/>
  <c r="L208" i="26" s="1"/>
  <c r="M208" i="26" s="1"/>
  <c r="K209" i="26" l="1"/>
  <c r="L209" i="26" s="1"/>
  <c r="M209" i="26" s="1"/>
  <c r="K210" i="26" l="1"/>
  <c r="L210" i="26" s="1"/>
  <c r="M210" i="26" s="1"/>
  <c r="K211" i="26" l="1"/>
  <c r="L211" i="26" s="1"/>
  <c r="M211" i="26" s="1"/>
  <c r="K212" i="26" l="1"/>
  <c r="L212" i="26" s="1"/>
  <c r="M212" i="26" s="1"/>
  <c r="K213" i="26" l="1"/>
  <c r="L213" i="26" s="1"/>
  <c r="M213" i="26" s="1"/>
  <c r="K214" i="26" l="1"/>
  <c r="L214" i="26" s="1"/>
  <c r="M214" i="26" s="1"/>
  <c r="K215" i="26" l="1"/>
  <c r="L215" i="26" s="1"/>
  <c r="M215" i="26" s="1"/>
  <c r="K216" i="26" l="1"/>
  <c r="L216" i="26" s="1"/>
  <c r="M216" i="26" s="1"/>
  <c r="K217" i="26" l="1"/>
  <c r="L217" i="26" s="1"/>
  <c r="M217" i="26" s="1"/>
  <c r="K218" i="26" l="1"/>
  <c r="L218" i="26" s="1"/>
  <c r="M218" i="26" s="1"/>
  <c r="K219" i="26" l="1"/>
  <c r="L219" i="26" s="1"/>
  <c r="M219" i="26" s="1"/>
  <c r="K220" i="26" l="1"/>
  <c r="L220" i="26" s="1"/>
  <c r="M220" i="26" s="1"/>
  <c r="K221" i="26" l="1"/>
  <c r="L221" i="26" s="1"/>
  <c r="M221" i="26" s="1"/>
  <c r="K222" i="26" l="1"/>
  <c r="L222" i="26" s="1"/>
  <c r="M222" i="26" s="1"/>
  <c r="K223" i="26" l="1"/>
  <c r="L223" i="26" s="1"/>
  <c r="M223" i="26" s="1"/>
  <c r="K224" i="26" l="1"/>
  <c r="L224" i="26" s="1"/>
  <c r="M224" i="26" s="1"/>
  <c r="K225" i="26" l="1"/>
  <c r="L225" i="26" s="1"/>
  <c r="M225" i="26" s="1"/>
  <c r="K226" i="26" l="1"/>
  <c r="L226" i="26" s="1"/>
  <c r="M226" i="26" s="1"/>
  <c r="K227" i="26" l="1"/>
  <c r="L227" i="26" s="1"/>
  <c r="M227" i="26" s="1"/>
  <c r="K228" i="26" l="1"/>
  <c r="L228" i="26" s="1"/>
  <c r="M228" i="26" s="1"/>
  <c r="K229" i="26" l="1"/>
  <c r="L229" i="26" s="1"/>
  <c r="M229" i="26" s="1"/>
  <c r="K230" i="26" l="1"/>
  <c r="L230" i="26" s="1"/>
  <c r="M230" i="26" s="1"/>
  <c r="K231" i="26" l="1"/>
  <c r="L231" i="26" s="1"/>
  <c r="M231" i="26" s="1"/>
  <c r="K232" i="26" l="1"/>
  <c r="L232" i="26" s="1"/>
  <c r="M232" i="26" s="1"/>
  <c r="K233" i="26" l="1"/>
  <c r="L233" i="26" s="1"/>
  <c r="M233" i="26" s="1"/>
  <c r="K234" i="26" l="1"/>
  <c r="L234" i="26" s="1"/>
  <c r="M234" i="26" s="1"/>
  <c r="K235" i="26" l="1"/>
  <c r="L235" i="26" s="1"/>
  <c r="M235" i="26" s="1"/>
  <c r="K236" i="26" l="1"/>
  <c r="L236" i="26" s="1"/>
  <c r="M236" i="26" s="1"/>
  <c r="K237" i="26" l="1"/>
  <c r="L237" i="26" s="1"/>
  <c r="M237" i="26" s="1"/>
  <c r="K238" i="26" l="1"/>
  <c r="L238" i="26" s="1"/>
  <c r="M238" i="26" s="1"/>
  <c r="K239" i="26" l="1"/>
  <c r="L239" i="26" s="1"/>
  <c r="M239" i="26" s="1"/>
  <c r="K240" i="26" l="1"/>
  <c r="L240" i="26" s="1"/>
  <c r="M240" i="26" s="1"/>
  <c r="K241" i="26" l="1"/>
  <c r="L241" i="26" s="1"/>
  <c r="M241" i="26" s="1"/>
  <c r="K242" i="26" l="1"/>
  <c r="L242" i="26" s="1"/>
  <c r="M242" i="26" s="1"/>
  <c r="K243" i="26" l="1"/>
  <c r="L243" i="26" s="1"/>
  <c r="M243" i="26" s="1"/>
  <c r="K244" i="26" l="1"/>
  <c r="L244" i="26" s="1"/>
  <c r="M244" i="26" s="1"/>
  <c r="K245" i="26" l="1"/>
  <c r="L245" i="26" s="1"/>
  <c r="M245" i="26" s="1"/>
  <c r="K246" i="26" l="1"/>
  <c r="L246" i="26" s="1"/>
  <c r="M246" i="26" s="1"/>
  <c r="K247" i="26" l="1"/>
  <c r="L247" i="26" s="1"/>
  <c r="M247" i="26" s="1"/>
  <c r="K248" i="26" l="1"/>
  <c r="L248" i="26" s="1"/>
  <c r="M248" i="26" s="1"/>
  <c r="K249" i="26" l="1"/>
  <c r="L249" i="26" s="1"/>
  <c r="M249" i="26" s="1"/>
  <c r="K250" i="26" l="1"/>
  <c r="L250" i="26" s="1"/>
  <c r="M250" i="26" s="1"/>
  <c r="K251" i="26" l="1"/>
  <c r="L251" i="26" s="1"/>
  <c r="M251" i="26" s="1"/>
  <c r="K252" i="26" l="1"/>
  <c r="L252" i="26" s="1"/>
  <c r="M252" i="26" s="1"/>
  <c r="K253" i="26" l="1"/>
  <c r="L253" i="26" s="1"/>
  <c r="M253" i="26" s="1"/>
  <c r="K254" i="26" l="1"/>
  <c r="L254" i="26" s="1"/>
  <c r="M254" i="26" s="1"/>
  <c r="K255" i="26" l="1"/>
  <c r="L255" i="26" s="1"/>
  <c r="M255" i="26" s="1"/>
  <c r="K256" i="26" l="1"/>
  <c r="L256" i="26" s="1"/>
  <c r="M256" i="26" s="1"/>
  <c r="K257" i="26" l="1"/>
  <c r="L257" i="26" s="1"/>
  <c r="M257" i="26" s="1"/>
  <c r="K258" i="26" l="1"/>
  <c r="L258" i="26" s="1"/>
  <c r="M258" i="26" s="1"/>
  <c r="K259" i="26" l="1"/>
  <c r="L259" i="26" s="1"/>
  <c r="M259" i="26" s="1"/>
  <c r="K260" i="26" l="1"/>
  <c r="L260" i="26" s="1"/>
  <c r="M260" i="26" s="1"/>
  <c r="K261" i="26" l="1"/>
  <c r="L261" i="26" s="1"/>
  <c r="M261" i="26" s="1"/>
  <c r="K262" i="26" l="1"/>
  <c r="L262" i="26" s="1"/>
  <c r="M262" i="26" s="1"/>
  <c r="K263" i="26" l="1"/>
  <c r="L263" i="26" s="1"/>
  <c r="M263" i="26" s="1"/>
  <c r="K264" i="26" l="1"/>
  <c r="L264" i="26" s="1"/>
  <c r="M264" i="26" s="1"/>
  <c r="K265" i="26" l="1"/>
  <c r="L265" i="26" s="1"/>
  <c r="M265" i="26" s="1"/>
  <c r="K266" i="26" l="1"/>
  <c r="L266" i="26" s="1"/>
  <c r="M266" i="26" s="1"/>
  <c r="K267" i="26" l="1"/>
  <c r="L267" i="26" s="1"/>
  <c r="M267" i="26" s="1"/>
  <c r="K268" i="26" l="1"/>
  <c r="L268" i="26" s="1"/>
  <c r="M268" i="26" s="1"/>
  <c r="K269" i="26" l="1"/>
  <c r="L269" i="26" s="1"/>
  <c r="M269" i="26" s="1"/>
  <c r="K270" i="26" l="1"/>
  <c r="L270" i="26" s="1"/>
  <c r="M270" i="26" s="1"/>
  <c r="K271" i="26" l="1"/>
  <c r="L271" i="26" s="1"/>
  <c r="M271" i="26" s="1"/>
  <c r="K272" i="26" l="1"/>
  <c r="L272" i="26" s="1"/>
  <c r="M272" i="26" s="1"/>
  <c r="K273" i="26" l="1"/>
  <c r="L273" i="26" s="1"/>
  <c r="M273" i="26" s="1"/>
  <c r="K274" i="26" l="1"/>
  <c r="L274" i="26" s="1"/>
  <c r="M274" i="26" s="1"/>
  <c r="K275" i="26" l="1"/>
  <c r="L275" i="26" s="1"/>
  <c r="M275" i="26" s="1"/>
  <c r="K276" i="26" l="1"/>
  <c r="L276" i="26" s="1"/>
  <c r="M276" i="26" s="1"/>
  <c r="K277" i="26" l="1"/>
  <c r="L277" i="26" s="1"/>
  <c r="M277" i="26" s="1"/>
  <c r="K278" i="26" l="1"/>
  <c r="L278" i="26" s="1"/>
  <c r="M278" i="26" s="1"/>
  <c r="K279" i="26" l="1"/>
  <c r="L279" i="26" s="1"/>
  <c r="M279" i="26" s="1"/>
  <c r="K280" i="26" l="1"/>
  <c r="L280" i="26" s="1"/>
  <c r="M280" i="26" s="1"/>
  <c r="K281" i="26" l="1"/>
  <c r="L281" i="26" s="1"/>
  <c r="M281" i="26" s="1"/>
  <c r="K282" i="26" l="1"/>
  <c r="L282" i="26" s="1"/>
  <c r="M282" i="26" s="1"/>
  <c r="K283" i="26" l="1"/>
  <c r="L283" i="26" s="1"/>
  <c r="M283" i="26" s="1"/>
  <c r="K284" i="26" l="1"/>
  <c r="L284" i="26" s="1"/>
  <c r="M284" i="26" s="1"/>
  <c r="K285" i="26" l="1"/>
  <c r="L285" i="26" s="1"/>
  <c r="M285" i="26" s="1"/>
  <c r="K286" i="26" l="1"/>
  <c r="L286" i="26" s="1"/>
  <c r="M286" i="26" s="1"/>
  <c r="K287" i="26" l="1"/>
  <c r="L287" i="26" s="1"/>
  <c r="M287" i="26" s="1"/>
  <c r="K288" i="26" l="1"/>
  <c r="L288" i="26" s="1"/>
  <c r="M288" i="26" s="1"/>
  <c r="K289" i="26" l="1"/>
  <c r="L289" i="26" s="1"/>
  <c r="M289" i="26" s="1"/>
  <c r="K290" i="26" l="1"/>
  <c r="L290" i="26" s="1"/>
  <c r="M290" i="26" s="1"/>
  <c r="K291" i="26" l="1"/>
  <c r="L291" i="26" s="1"/>
  <c r="M291" i="26" s="1"/>
  <c r="K292" i="26" l="1"/>
  <c r="L292" i="26" s="1"/>
  <c r="M292" i="26" s="1"/>
  <c r="K293" i="26" l="1"/>
  <c r="L293" i="26" s="1"/>
  <c r="M293" i="26" s="1"/>
  <c r="K294" i="26" l="1"/>
  <c r="L294" i="26" s="1"/>
  <c r="M294" i="26" s="1"/>
  <c r="K295" i="26" l="1"/>
  <c r="L295" i="26" s="1"/>
  <c r="M295" i="26" s="1"/>
  <c r="K296" i="26" l="1"/>
  <c r="L296" i="26" s="1"/>
  <c r="M296" i="26" s="1"/>
  <c r="K297" i="26" l="1"/>
  <c r="L297" i="26" s="1"/>
  <c r="M297" i="26" s="1"/>
  <c r="K298" i="26" l="1"/>
  <c r="L298" i="26" s="1"/>
  <c r="M298" i="26" s="1"/>
  <c r="K299" i="26" l="1"/>
  <c r="L299" i="26" s="1"/>
  <c r="M299" i="26" s="1"/>
  <c r="K300" i="26" l="1"/>
  <c r="L300" i="26" s="1"/>
  <c r="M300" i="26" s="1"/>
  <c r="K301" i="26" l="1"/>
  <c r="L301" i="26" s="1"/>
  <c r="M301" i="26" s="1"/>
  <c r="K302" i="26" l="1"/>
  <c r="L302" i="26" s="1"/>
  <c r="M302" i="26" s="1"/>
  <c r="R13" i="24" l="1"/>
  <c r="R14" i="24" l="1"/>
  <c r="R15" i="24" l="1"/>
  <c r="R16" i="24"/>
  <c r="R17" i="24"/>
  <c r="R18" i="24" l="1"/>
  <c r="R19" i="24" l="1"/>
  <c r="R20" i="24" l="1"/>
  <c r="R21" i="24" l="1"/>
  <c r="R22" i="24" l="1"/>
  <c r="R23" i="24" l="1"/>
  <c r="R24" i="24" l="1"/>
  <c r="R25" i="24" l="1"/>
  <c r="R26" i="24" l="1"/>
  <c r="R27" i="24" l="1"/>
  <c r="R28" i="24" l="1"/>
  <c r="R29" i="24" l="1"/>
  <c r="R30" i="24" l="1"/>
  <c r="R31" i="24" l="1"/>
  <c r="R32" i="24" l="1"/>
  <c r="R33" i="24" l="1"/>
  <c r="R34" i="24" l="1"/>
  <c r="R35" i="24" l="1"/>
  <c r="R36" i="24" l="1"/>
  <c r="R37" i="24" l="1"/>
  <c r="R38" i="24" l="1"/>
  <c r="R39" i="24" l="1"/>
  <c r="R40" i="24" l="1"/>
  <c r="B9" i="24" l="1"/>
  <c r="R41" i="24"/>
  <c r="R42" i="24"/>
</calcChain>
</file>

<file path=xl/sharedStrings.xml><?xml version="1.0" encoding="utf-8"?>
<sst xmlns="http://schemas.openxmlformats.org/spreadsheetml/2006/main" count="575" uniqueCount="382">
  <si>
    <t>Initial Investment</t>
  </si>
  <si>
    <t xml:space="preserve">Total </t>
  </si>
  <si>
    <t>Disclamer</t>
  </si>
  <si>
    <t xml:space="preserve">Mutual Fund Investments are subject to market risk. Please read the offer document carefully before investing. </t>
  </si>
  <si>
    <t>Inflation</t>
  </si>
  <si>
    <t>Future Value</t>
  </si>
  <si>
    <t>AGE</t>
  </si>
  <si>
    <t>SIP</t>
  </si>
  <si>
    <t>NAME</t>
  </si>
  <si>
    <t>EMI</t>
  </si>
  <si>
    <t>SAVING IN EMI</t>
  </si>
  <si>
    <t>MODIFIED EMI</t>
  </si>
  <si>
    <t>INTEREST OF LOAN</t>
  </si>
  <si>
    <t>LOAN AMOUNT</t>
  </si>
  <si>
    <t>EXPECTED MATURITY AMOUNT</t>
  </si>
  <si>
    <t xml:space="preserve"> </t>
  </si>
  <si>
    <t>Outflow in 1st case</t>
  </si>
  <si>
    <t>Outflow in 2nd case</t>
  </si>
  <si>
    <t>RETURN/YR</t>
  </si>
  <si>
    <t>By starting now you would have got</t>
  </si>
  <si>
    <t>By delaying your investment you'll get</t>
  </si>
  <si>
    <t>Loss arising because of delay</t>
  </si>
  <si>
    <t>Just by not investing now, you've saved</t>
  </si>
  <si>
    <t>You need to invest per MONTH (Rs.)</t>
  </si>
  <si>
    <t>Your tax slab</t>
  </si>
  <si>
    <t>Bank FD rate of return</t>
  </si>
  <si>
    <t>MF</t>
  </si>
  <si>
    <t>FD</t>
  </si>
  <si>
    <t>Your Tax Slab</t>
  </si>
  <si>
    <t>Through MF</t>
  </si>
  <si>
    <t>Through FD</t>
  </si>
  <si>
    <t>Saved now</t>
  </si>
  <si>
    <t>YEAR</t>
  </si>
  <si>
    <t>REDEEM</t>
  </si>
  <si>
    <t>BALANCE</t>
  </si>
  <si>
    <t>SWP</t>
  </si>
  <si>
    <t>Avg. Portfolio Return (p.a.)</t>
  </si>
  <si>
    <t>WITHDRAWAL</t>
  </si>
  <si>
    <t>FUND VALUE</t>
  </si>
  <si>
    <t>Withdrawal amt. (monthly)</t>
  </si>
  <si>
    <t>Portfolio 2 (Fixed Deposit)</t>
  </si>
  <si>
    <t>Monthly appreciation amount</t>
  </si>
  <si>
    <t>STP</t>
  </si>
  <si>
    <t>Non-STP</t>
  </si>
  <si>
    <t>WEALTH CREATION THROUGH SAVING ON EMI</t>
  </si>
  <si>
    <t>NEW RATE OF INTEREST</t>
  </si>
  <si>
    <t>Loan can be repaid in (years)</t>
  </si>
  <si>
    <t>* There will be one-time loan processing charge which is to be subtracted from the above created wealth</t>
  </si>
  <si>
    <t>Cost of goal as of today</t>
  </si>
  <si>
    <t>DATA COLLECTION FORM</t>
  </si>
  <si>
    <t>NAME:</t>
  </si>
  <si>
    <t>DATE:</t>
  </si>
  <si>
    <t>RELATIONSHIP</t>
  </si>
  <si>
    <t>INCOME TYPE</t>
  </si>
  <si>
    <t>SELF</t>
  </si>
  <si>
    <t>SALARY (Self)</t>
  </si>
  <si>
    <t>SPOUSE</t>
  </si>
  <si>
    <t>BUSINESS</t>
  </si>
  <si>
    <t>CHILD 1</t>
  </si>
  <si>
    <t>RENTAL</t>
  </si>
  <si>
    <t>CHILD 2</t>
  </si>
  <si>
    <t>INTEREST / DIVIDEND</t>
  </si>
  <si>
    <t>CHILD 3</t>
  </si>
  <si>
    <t>INCENTIVE / BONUS</t>
  </si>
  <si>
    <t>COST AS OF TODAY</t>
  </si>
  <si>
    <t>EXPENSE TYPE</t>
  </si>
  <si>
    <t>HOUSEHOLD</t>
  </si>
  <si>
    <t>LIFESTYLE</t>
  </si>
  <si>
    <t>CHILDREN</t>
  </si>
  <si>
    <t>LOAN EMI</t>
  </si>
  <si>
    <t>INSURANCE</t>
  </si>
  <si>
    <t>INVESTMENTS</t>
  </si>
  <si>
    <t>OTHERS</t>
  </si>
  <si>
    <t>INSURANCE etc.</t>
  </si>
  <si>
    <t>AMT.</t>
  </si>
  <si>
    <t>Current Liquid Balance</t>
  </si>
  <si>
    <t>Group Mediclaim</t>
  </si>
  <si>
    <t>Own Mediclaim</t>
  </si>
  <si>
    <t>Loan O/S</t>
  </si>
  <si>
    <t>Group Sum Assured</t>
  </si>
  <si>
    <t>Own Sum Assured</t>
  </si>
  <si>
    <t>Years Left</t>
  </si>
  <si>
    <r>
      <t>FINANCIAL GOALS
(</t>
    </r>
    <r>
      <rPr>
        <b/>
        <sz val="11"/>
        <color rgb="FFFF0000"/>
        <rFont val="Calibri"/>
        <family val="2"/>
        <scheme val="minor"/>
      </rPr>
      <t>Don't mention RETIREMENT</t>
    </r>
    <r>
      <rPr>
        <b/>
        <sz val="11"/>
        <color theme="1"/>
        <rFont val="Calibri"/>
        <family val="2"/>
        <scheme val="minor"/>
      </rPr>
      <t>)</t>
    </r>
  </si>
  <si>
    <t>LUMP-SUM</t>
  </si>
  <si>
    <t>GOAL NAME</t>
  </si>
  <si>
    <t>CURRENT VALUE</t>
  </si>
  <si>
    <t>FUTURE VALUE</t>
  </si>
  <si>
    <t>RETURN (%)</t>
  </si>
  <si>
    <t>INFLATION (%)</t>
  </si>
  <si>
    <t>Retirement Age</t>
  </si>
  <si>
    <t>Life Expectancy</t>
  </si>
  <si>
    <t>RETURN EXPECTATION</t>
  </si>
  <si>
    <t>Before Retirement</t>
  </si>
  <si>
    <t>After Retirement</t>
  </si>
  <si>
    <t>Future Mthly Expenses
(Household + Lifestyle)</t>
  </si>
  <si>
    <t>Current Mthly Expenses
(Household + Lifestyle)</t>
  </si>
  <si>
    <t xml:space="preserve">INFLATION ASSUMPTION
</t>
  </si>
  <si>
    <t>Retirement Corpus Target</t>
  </si>
  <si>
    <t>Total Life Insurance Cover Reqd.</t>
  </si>
  <si>
    <t>Yes</t>
  </si>
  <si>
    <t>Critical Goal?</t>
  </si>
  <si>
    <t>LIFE INSURANCE:</t>
  </si>
  <si>
    <t>Spouse's Life Expectancy</t>
  </si>
  <si>
    <t>Return on Claim Amt.</t>
  </si>
  <si>
    <t>Discount (%) on Self Demise</t>
  </si>
  <si>
    <t>Liquidable Assets' Value</t>
  </si>
  <si>
    <t>Additional Reqd. Cover</t>
  </si>
  <si>
    <t>HEALTH INSURANCE:</t>
  </si>
  <si>
    <t>Recommended Health Cover</t>
  </si>
  <si>
    <t>Existing Cover (Group + Self)</t>
  </si>
  <si>
    <t>CONTINGENCY FUND:</t>
  </si>
  <si>
    <t>Total Monthly Expenses</t>
  </si>
  <si>
    <t>No. of Months' Expenses to keep</t>
  </si>
  <si>
    <t>Additional Fund Reqd.</t>
  </si>
  <si>
    <t>Lump-Sum:</t>
  </si>
  <si>
    <t>SIP:</t>
  </si>
  <si>
    <t>Total SIP Requirement:</t>
  </si>
  <si>
    <t>Current Monthly Surplus:</t>
  </si>
  <si>
    <t>BANK FD</t>
  </si>
  <si>
    <t>MUTUAL FUND</t>
  </si>
  <si>
    <t>Expected return from Mutual Fund:</t>
  </si>
  <si>
    <t>Bank FD rate of interest</t>
  </si>
  <si>
    <t>SIP Step-Up %</t>
  </si>
  <si>
    <t>Expected return from SIP investments</t>
  </si>
  <si>
    <t>Current age</t>
  </si>
  <si>
    <t>Retirement age</t>
  </si>
  <si>
    <t>Inflation rate</t>
  </si>
  <si>
    <t>Return expected from SWP (Post Retirement)</t>
  </si>
  <si>
    <t>Start of Year</t>
  </si>
  <si>
    <t>End of Year</t>
  </si>
  <si>
    <t>No. of years</t>
  </si>
  <si>
    <t>Expected return from SIP</t>
  </si>
  <si>
    <t>SIP tenure (no. of years)</t>
  </si>
  <si>
    <t>Post-tax return from FD</t>
  </si>
  <si>
    <t>Per month investment required at different rate of returns
for different time horizons</t>
  </si>
  <si>
    <t>Transter this appreciation amt. systematically to EQUITY Fund</t>
  </si>
  <si>
    <t>If invested in MF you can create a wealth of (Rs.)</t>
  </si>
  <si>
    <t>If invested in bank FD you can create a wealth of (Rs.)</t>
  </si>
  <si>
    <t>SIP amount (Rs.)</t>
  </si>
  <si>
    <t>No. of months delayed for investments</t>
  </si>
  <si>
    <t>Bank FD Return</t>
  </si>
  <si>
    <t>Monthly SIP till retirement (Rs.)</t>
  </si>
  <si>
    <t>Household expenses @ retirement</t>
  </si>
  <si>
    <t>After retirement fund would last for:</t>
  </si>
  <si>
    <r>
      <rPr>
        <b/>
        <sz val="11"/>
        <rFont val="Arial"/>
        <family val="2"/>
      </rPr>
      <t>Amount invested</t>
    </r>
    <r>
      <rPr>
        <sz val="11"/>
        <rFont val="Arial"/>
        <family val="2"/>
      </rPr>
      <t xml:space="preserve"> in LIQUID Fund</t>
    </r>
  </si>
  <si>
    <r>
      <t xml:space="preserve">Expected </t>
    </r>
    <r>
      <rPr>
        <b/>
        <sz val="11"/>
        <rFont val="Arial"/>
        <family val="2"/>
      </rPr>
      <t>return</t>
    </r>
  </si>
  <si>
    <t>Expected return from Equity Fund</t>
  </si>
  <si>
    <t>Fund value without STP route</t>
  </si>
  <si>
    <t>Fund value with transferring monthly appreciation amt. to equity fund</t>
  </si>
  <si>
    <t>Incremental earning</t>
  </si>
  <si>
    <t>No. of years left</t>
  </si>
  <si>
    <t>SYSTEMATIC WITHDRAWAL PLAN (SWP)</t>
  </si>
  <si>
    <t>WEALTH ACCUMULATION THROUGH SIP</t>
  </si>
  <si>
    <t>LOSS DUE TO DELAY IN INVESTMENT</t>
  </si>
  <si>
    <t>GOAL PLANNING THROUGH SIP</t>
  </si>
  <si>
    <t>Current household expenses</t>
  </si>
  <si>
    <t>Opportunity cost</t>
  </si>
  <si>
    <t>BENEFITS OF STP</t>
  </si>
  <si>
    <r>
      <t xml:space="preserve">AMT. 
</t>
    </r>
    <r>
      <rPr>
        <sz val="10"/>
        <rFont val="Arial"/>
        <family val="2"/>
      </rPr>
      <t>(Monthly Avg.)</t>
    </r>
  </si>
  <si>
    <t>Vacation - International</t>
  </si>
  <si>
    <t>Buying Car</t>
  </si>
  <si>
    <t>Wealth Creation</t>
  </si>
  <si>
    <t>Vacation - Domestic</t>
  </si>
  <si>
    <t>Buying House</t>
  </si>
  <si>
    <t>Home Renovation</t>
  </si>
  <si>
    <t>Big Purchase</t>
  </si>
  <si>
    <t>Miscellaneous</t>
  </si>
  <si>
    <t>Tax Slab</t>
  </si>
  <si>
    <t>1 Year</t>
  </si>
  <si>
    <t>3 Years</t>
  </si>
  <si>
    <t>2 Years</t>
  </si>
  <si>
    <t>4 Years</t>
  </si>
  <si>
    <t>5 Years</t>
  </si>
  <si>
    <t>6 Years</t>
  </si>
  <si>
    <t>7 Years</t>
  </si>
  <si>
    <t>10 Years</t>
  </si>
  <si>
    <t>11 Years</t>
  </si>
  <si>
    <t>12 Years</t>
  </si>
  <si>
    <t>13 Years</t>
  </si>
  <si>
    <t>14 Years</t>
  </si>
  <si>
    <t>15 Years</t>
  </si>
  <si>
    <t>16 Years</t>
  </si>
  <si>
    <t>17 Years</t>
  </si>
  <si>
    <t>18 Years</t>
  </si>
  <si>
    <t>19 Years</t>
  </si>
  <si>
    <t>20 Years</t>
  </si>
  <si>
    <t>21 Years</t>
  </si>
  <si>
    <t>22 Years</t>
  </si>
  <si>
    <t>23 Years</t>
  </si>
  <si>
    <t>24 Years</t>
  </si>
  <si>
    <t>25 Years</t>
  </si>
  <si>
    <t>26 Years</t>
  </si>
  <si>
    <t>27 Years</t>
  </si>
  <si>
    <t>28 Years</t>
  </si>
  <si>
    <t>29 Years</t>
  </si>
  <si>
    <t>30 Years</t>
  </si>
  <si>
    <t>8 Years</t>
  </si>
  <si>
    <t>9 Years</t>
  </si>
  <si>
    <t>Withdrawal for no. of years</t>
  </si>
  <si>
    <t>SIP amt (throughout the residual tenure)</t>
  </si>
  <si>
    <r>
      <t>LOAN TENURE (</t>
    </r>
    <r>
      <rPr>
        <sz val="11"/>
        <color rgb="FF000000"/>
        <rFont val="Calibri"/>
        <family val="2"/>
      </rPr>
      <t>No. of Years</t>
    </r>
    <r>
      <rPr>
        <b/>
        <sz val="11"/>
        <color rgb="FF000000"/>
        <rFont val="Calibri"/>
        <family val="2"/>
      </rPr>
      <t>)</t>
    </r>
  </si>
  <si>
    <r>
      <t>EMI PAID (</t>
    </r>
    <r>
      <rPr>
        <sz val="11"/>
        <color rgb="FF000000"/>
        <rFont val="Calibri"/>
        <family val="2"/>
      </rPr>
      <t xml:space="preserve">No. of </t>
    </r>
    <r>
      <rPr>
        <b/>
        <u/>
        <sz val="11"/>
        <color rgb="FF000000"/>
        <rFont val="Calibri"/>
        <family val="2"/>
      </rPr>
      <t>Months</t>
    </r>
    <r>
      <rPr>
        <b/>
        <sz val="11"/>
        <color rgb="FF000000"/>
        <rFont val="Calibri"/>
        <family val="2"/>
      </rPr>
      <t>)</t>
    </r>
  </si>
  <si>
    <t>EXPECTED RETURN FROM SIP</t>
  </si>
  <si>
    <t>Lump-Sum Investment</t>
  </si>
  <si>
    <t>Return</t>
  </si>
  <si>
    <t>Money required for future goal</t>
  </si>
  <si>
    <t>REQUIRED INVESTMENT AMOUNT</t>
  </si>
  <si>
    <t>NO. OF YEARS REQUIRED</t>
  </si>
  <si>
    <t>REQUIRED RATE OF RETURN</t>
  </si>
  <si>
    <t>SIP Investment</t>
  </si>
  <si>
    <t>REQUIRED SIP AMOUNT</t>
  </si>
  <si>
    <t>Portfolio 1 (Equity Mutual Fund)</t>
  </si>
  <si>
    <t>QUICK CALC (SIP)</t>
  </si>
  <si>
    <t>QUICK CALC (Lump-Sum)</t>
  </si>
  <si>
    <t>Return expected</t>
  </si>
  <si>
    <r>
      <rPr>
        <b/>
        <sz val="10"/>
        <color rgb="FFFFFF00"/>
        <rFont val="Arial"/>
        <family val="2"/>
      </rPr>
      <t>FUTURE VALUE</t>
    </r>
    <r>
      <rPr>
        <b/>
        <sz val="10"/>
        <color theme="0"/>
        <rFont val="Arial"/>
        <family val="2"/>
      </rPr>
      <t xml:space="preserve"> OF LUMP-SUM INVESTMENT</t>
    </r>
  </si>
  <si>
    <r>
      <t xml:space="preserve">LUMP-SUM </t>
    </r>
    <r>
      <rPr>
        <b/>
        <sz val="10"/>
        <color rgb="FFFFFF00"/>
        <rFont val="Arial"/>
        <family val="2"/>
      </rPr>
      <t>INVESTMENT REQD.</t>
    </r>
    <r>
      <rPr>
        <b/>
        <sz val="10"/>
        <color theme="0"/>
        <rFont val="Arial"/>
        <family val="2"/>
      </rPr>
      <t xml:space="preserve"> FOR FUTURE GOAL</t>
    </r>
  </si>
  <si>
    <r>
      <rPr>
        <b/>
        <sz val="10"/>
        <color rgb="FFFFFF00"/>
        <rFont val="Arial"/>
        <family val="2"/>
      </rPr>
      <t>NO. OF YEARS REQD.</t>
    </r>
    <r>
      <rPr>
        <b/>
        <sz val="10"/>
        <color theme="0"/>
        <rFont val="Arial"/>
        <family val="2"/>
      </rPr>
      <t xml:space="preserve"> TO REACH A MATURITY VALUE</t>
    </r>
  </si>
  <si>
    <r>
      <rPr>
        <b/>
        <sz val="10"/>
        <color rgb="FFFFFF00"/>
        <rFont val="Arial"/>
        <family val="2"/>
      </rPr>
      <t>REQUIRED RETURN</t>
    </r>
    <r>
      <rPr>
        <b/>
        <sz val="10"/>
        <color theme="0"/>
        <rFont val="Arial"/>
        <family val="2"/>
      </rPr>
      <t xml:space="preserve"> TO ACHIEVE FUTURE GOAL</t>
    </r>
  </si>
  <si>
    <r>
      <rPr>
        <b/>
        <sz val="10"/>
        <color rgb="FFFFFF00"/>
        <rFont val="Arial"/>
        <family val="2"/>
      </rPr>
      <t>FUTURE VALUE</t>
    </r>
    <r>
      <rPr>
        <b/>
        <sz val="10"/>
        <color theme="0"/>
        <rFont val="Arial"/>
        <family val="2"/>
      </rPr>
      <t xml:space="preserve"> OF SIP INVESTMENT</t>
    </r>
  </si>
  <si>
    <r>
      <rPr>
        <b/>
        <sz val="10"/>
        <color rgb="FFFFFF00"/>
        <rFont val="Arial"/>
        <family val="2"/>
      </rPr>
      <t>SIP INVESTMENT REQD.</t>
    </r>
    <r>
      <rPr>
        <b/>
        <sz val="10"/>
        <color theme="0"/>
        <rFont val="Arial"/>
        <family val="2"/>
      </rPr>
      <t xml:space="preserve"> FOR FUTURE GOAL</t>
    </r>
  </si>
  <si>
    <t>Effective return</t>
  </si>
  <si>
    <t>Now</t>
  </si>
  <si>
    <t>Withdrawal start from/after</t>
  </si>
  <si>
    <t>Investment Amt.</t>
  </si>
  <si>
    <t>Particulars</t>
  </si>
  <si>
    <t>Debt Fund</t>
  </si>
  <si>
    <t>Fixed Deposit</t>
  </si>
  <si>
    <t>Return (p.a.)</t>
  </si>
  <si>
    <t>Principal Amount</t>
  </si>
  <si>
    <t xml:space="preserve">Expected rate of return </t>
  </si>
  <si>
    <t>Tenure of investment (in years)</t>
  </si>
  <si>
    <t>Tenure</t>
  </si>
  <si>
    <t>Maturity Value</t>
  </si>
  <si>
    <t>Interest Income</t>
  </si>
  <si>
    <t>NA</t>
  </si>
  <si>
    <t>TAX TREATMENT:
Debt Fund Vs. FD</t>
  </si>
  <si>
    <t>Assumed Inflation Rate (p.a.)</t>
  </si>
  <si>
    <t>Cost of Indexation</t>
  </si>
  <si>
    <t>Long Term Capital Gain</t>
  </si>
  <si>
    <t>Long Term Capital Gain after Indexation</t>
  </si>
  <si>
    <t>Applicable tax rate</t>
  </si>
  <si>
    <t>Long Term Capital Gain tax / Tax on interest income</t>
  </si>
  <si>
    <t>Net gain</t>
  </si>
  <si>
    <t>Post tax return at maturity</t>
  </si>
  <si>
    <t>Choose MF Type:</t>
  </si>
  <si>
    <t>Balanced /Equity</t>
  </si>
  <si>
    <t>FD Return (p.a.)</t>
  </si>
  <si>
    <t>MF Return (p.a.)</t>
  </si>
  <si>
    <t>STCG
TAX PAID</t>
  </si>
  <si>
    <t>LTCG
TAX PAID</t>
  </si>
  <si>
    <t>TOTAL
TAX PAID</t>
  </si>
  <si>
    <t>EFFECTIVE 
TAX RATE</t>
  </si>
  <si>
    <t>TAX PAID</t>
  </si>
  <si>
    <t>TOTAL</t>
  </si>
  <si>
    <t>INV. AMT.</t>
  </si>
  <si>
    <t>Month</t>
  </si>
  <si>
    <t>Amount
Withdrawn</t>
  </si>
  <si>
    <t>NAV</t>
  </si>
  <si>
    <t>No. of Units
Redeemed</t>
  </si>
  <si>
    <t>Units</t>
  </si>
  <si>
    <t>STCG</t>
  </si>
  <si>
    <t>LTCG</t>
  </si>
  <si>
    <t>Indexed LTCG</t>
  </si>
  <si>
    <t>Tax Paid</t>
  </si>
  <si>
    <t>Fund Value</t>
  </si>
  <si>
    <t>SIP TOP-UP CALC</t>
  </si>
  <si>
    <t>SIP Amount</t>
  </si>
  <si>
    <t>SIP Tenure (in no. of Years)</t>
  </si>
  <si>
    <t>Avg. Annual Return Assumed</t>
  </si>
  <si>
    <r>
      <rPr>
        <b/>
        <sz val="14"/>
        <color theme="1"/>
        <rFont val="Calibri"/>
        <family val="2"/>
        <scheme val="minor"/>
      </rPr>
      <t>Increase</t>
    </r>
    <r>
      <rPr>
        <sz val="14"/>
        <color theme="1"/>
        <rFont val="Calibri"/>
        <family val="2"/>
        <scheme val="minor"/>
      </rPr>
      <t xml:space="preserve"> SIP contribution by fixed</t>
    </r>
  </si>
  <si>
    <t>Increase SIP amount upto</t>
  </si>
  <si>
    <t>Increase SIP by Fixed Amount</t>
  </si>
  <si>
    <t>Increase SIP amount by fixed %</t>
  </si>
  <si>
    <t>SIP Amt.</t>
  </si>
  <si>
    <t>Years</t>
  </si>
  <si>
    <r>
      <t xml:space="preserve">Total Wealth in case of </t>
    </r>
    <r>
      <rPr>
        <b/>
        <u/>
        <sz val="16"/>
        <color rgb="FFFF0000"/>
        <rFont val="Calibri"/>
        <family val="2"/>
        <scheme val="minor"/>
      </rPr>
      <t>Step-Up SIP</t>
    </r>
  </si>
  <si>
    <r>
      <t xml:space="preserve">TOTAL INVESTMENT 
in case of </t>
    </r>
    <r>
      <rPr>
        <b/>
        <u/>
        <sz val="12"/>
        <color rgb="FFFF0000"/>
        <rFont val="Calibri"/>
        <family val="2"/>
        <scheme val="minor"/>
      </rPr>
      <t>Step-Up SIP</t>
    </r>
  </si>
  <si>
    <t>Total Wealth in case of Normal SIP</t>
  </si>
  <si>
    <t>TOTAL INVESTMENT 
in case of Normal SIP</t>
  </si>
  <si>
    <t>Total</t>
  </si>
  <si>
    <t>SIP Amt. Per Month</t>
  </si>
  <si>
    <t>Amt. Invested</t>
  </si>
  <si>
    <t>Wealth Created</t>
  </si>
  <si>
    <t>Year</t>
  </si>
  <si>
    <t>Normal SIP</t>
  </si>
  <si>
    <t>Step Up SIP</t>
  </si>
  <si>
    <t>SUMMARY</t>
  </si>
  <si>
    <t>Difference</t>
  </si>
  <si>
    <r>
      <t xml:space="preserve">As your income grows over the years, your all other expenses keep growing - so should your investment. 
</t>
    </r>
    <r>
      <rPr>
        <b/>
        <sz val="14"/>
        <color rgb="FFFF0000"/>
        <rFont val="Calibri"/>
        <family val="2"/>
        <scheme val="minor"/>
      </rPr>
      <t>Top up your SIPs regularly!</t>
    </r>
    <r>
      <rPr>
        <sz val="14"/>
        <color theme="1"/>
        <rFont val="Calibri"/>
        <family val="2"/>
        <scheme val="minor"/>
      </rPr>
      <t xml:space="preserve"> It's easy on pocket, rewarding at maturity!!</t>
    </r>
  </si>
  <si>
    <t>Initial SIP Amt.</t>
  </si>
  <si>
    <t>Return assumed</t>
  </si>
  <si>
    <t>SIP Tenure (Yrs.)</t>
  </si>
  <si>
    <t>Max SIP Amt.</t>
  </si>
  <si>
    <t>Amount</t>
  </si>
  <si>
    <t>TYPE</t>
  </si>
  <si>
    <t>Withdrawal % in case of MF</t>
  </si>
  <si>
    <t>SWP vs DIVIDEND</t>
  </si>
  <si>
    <t>Will my fund last for full 60 months?</t>
  </si>
  <si>
    <t>Taxation on Dividend</t>
  </si>
  <si>
    <t>Equity</t>
  </si>
  <si>
    <t>DDT</t>
  </si>
  <si>
    <t>Surcharge</t>
  </si>
  <si>
    <t>Service Tax</t>
  </si>
  <si>
    <t>Choose Fund Type</t>
  </si>
  <si>
    <t>What will be the fund value then?</t>
  </si>
  <si>
    <t>Debt</t>
  </si>
  <si>
    <t>Dividend Released</t>
  </si>
  <si>
    <t>Dividend Received</t>
  </si>
  <si>
    <t>Dividend %</t>
  </si>
  <si>
    <t>Pre
NAV</t>
  </si>
  <si>
    <t>Post
NAV</t>
  </si>
  <si>
    <t>Gross</t>
  </si>
  <si>
    <t>Net</t>
  </si>
  <si>
    <t>Fund Value After 5 Years:</t>
  </si>
  <si>
    <t>Enter data in orange highlighted cells only</t>
  </si>
  <si>
    <t>If you choose a withdrawal rate which is higher than the MF return (p.a.) then dividend part of the analysis will show blank, as dividend are compulsorily to be paid out from realized gain only.
It is assumed here that the long term capital gain (LTCG) at the end of the tenure will be earned only from the mentioned investments. If LTCG from other equity investments are realised in the same year then composite gain will be considered to calculate Rs. 1 lakh exemption limit.</t>
  </si>
  <si>
    <t>FD Interest Payout</t>
  </si>
  <si>
    <t>It is assumed here that the long term capital gain (LTCG) at the end of the tenure will be earned only from the mentioned investments. If LTCG from other equity investments are realised in the same year then composite gain will be considered to calculate Rs. 1 lakh exemption limit.</t>
  </si>
  <si>
    <t>SWP vs FD Interest</t>
  </si>
  <si>
    <t>CAPITAL GAIN CALCULATOR</t>
  </si>
  <si>
    <t>FOR LUMPSUM INVESTMENT</t>
  </si>
  <si>
    <t>FOR SIP INVESTMENT</t>
  </si>
  <si>
    <t>Return Assumed (p.a.)</t>
  </si>
  <si>
    <r>
      <rPr>
        <b/>
        <sz val="11"/>
        <color rgb="FFFF0000"/>
        <rFont val="Calibri"/>
        <family val="2"/>
        <scheme val="minor"/>
      </rPr>
      <t>LumpSum</t>
    </r>
    <r>
      <rPr>
        <sz val="10"/>
        <rFont val="Arial"/>
        <family val="2"/>
      </rPr>
      <t xml:space="preserve"> Amt Invested or Fund Value 
as on or after 31/01/2018</t>
    </r>
  </si>
  <si>
    <t>Existing SIP's Fund Value as on 31/01/2018</t>
  </si>
  <si>
    <r>
      <t xml:space="preserve">Tenure </t>
    </r>
    <r>
      <rPr>
        <sz val="10"/>
        <color theme="1"/>
        <rFont val="Calibri"/>
        <family val="2"/>
        <scheme val="minor"/>
      </rPr>
      <t>(No. of Years 
anytime after 31/01/2018)</t>
    </r>
  </si>
  <si>
    <r>
      <rPr>
        <b/>
        <sz val="11"/>
        <color rgb="FFFF0000"/>
        <rFont val="Calibri"/>
        <family val="2"/>
        <scheme val="minor"/>
      </rPr>
      <t>SIP</t>
    </r>
    <r>
      <rPr>
        <sz val="10"/>
        <rFont val="Arial"/>
        <family val="2"/>
      </rPr>
      <t xml:space="preserve"> Amount (per month)</t>
    </r>
  </si>
  <si>
    <t>YES</t>
  </si>
  <si>
    <t>NO</t>
  </si>
  <si>
    <t>Will SIP Stop 1 Year Before Redemption?</t>
  </si>
  <si>
    <t>Long Term Capital Gain (LTCG)</t>
  </si>
  <si>
    <t>Taxable LTCG (Beyond 1 Lakh)</t>
  </si>
  <si>
    <t>Short Term Capital Gain (STCG)</t>
  </si>
  <si>
    <t>SIP can't stop 1 year before, if tenure itself is 1 year (so it is assumed NO)!</t>
  </si>
  <si>
    <t>LTCG Tax Rate on Eq. MF (incl. cess)</t>
  </si>
  <si>
    <t>LTCG Tax Paid</t>
  </si>
  <si>
    <t>Future Value (Net of Tax)</t>
  </si>
  <si>
    <t>Effective Return (p.a.)</t>
  </si>
  <si>
    <t>STCG Tax Paid @ 15% (incl. cess)</t>
  </si>
  <si>
    <t>Enter Values in
Highlighted Cells Only</t>
  </si>
  <si>
    <t>Portfolio</t>
  </si>
  <si>
    <t>Asset Class</t>
  </si>
  <si>
    <t>% Allocation</t>
  </si>
  <si>
    <t>Withdrawal Amount</t>
  </si>
  <si>
    <t>Liquidity</t>
  </si>
  <si>
    <t>Liquid / Ultra Short Term Funds, Arbitrage Fund</t>
  </si>
  <si>
    <t>Safety</t>
  </si>
  <si>
    <t>Debt Fund, MIP, FMP, Bonds, NCD</t>
  </si>
  <si>
    <t>Starting Corpus</t>
  </si>
  <si>
    <t>Growth</t>
  </si>
  <si>
    <t>Balanced Fund-Equity, Diversified Equity Funds</t>
  </si>
  <si>
    <t>Current Age</t>
  </si>
  <si>
    <t>PORTFOLIO RETURN</t>
  </si>
  <si>
    <r>
      <t xml:space="preserve">No. of years you can sustain on your fund (i.e. if </t>
    </r>
    <r>
      <rPr>
        <b/>
        <u/>
        <sz val="11"/>
        <color rgb="FFFF0000"/>
        <rFont val="Calibri"/>
        <family val="2"/>
        <scheme val="minor"/>
      </rPr>
      <t>capital and interest - both are withdrawn</t>
    </r>
    <r>
      <rPr>
        <sz val="10"/>
        <rFont val="Arial"/>
        <family val="2"/>
      </rPr>
      <t>)</t>
    </r>
  </si>
  <si>
    <t>Total withdrawal</t>
  </si>
  <si>
    <r>
      <t xml:space="preserve">No. of years you can sustain on interest/gain alone (i.e. </t>
    </r>
    <r>
      <rPr>
        <b/>
        <u/>
        <sz val="11"/>
        <color rgb="FFFF0000"/>
        <rFont val="Calibri"/>
        <family val="2"/>
        <scheme val="minor"/>
      </rPr>
      <t>capital remains intact</t>
    </r>
    <r>
      <rPr>
        <sz val="10"/>
        <rFont val="Arial"/>
        <family val="2"/>
      </rPr>
      <t>)</t>
    </r>
  </si>
  <si>
    <t>Age</t>
  </si>
  <si>
    <t>SoY*
Corpus</t>
  </si>
  <si>
    <t>Yearly
Withdrawal</t>
  </si>
  <si>
    <t>Monthly
Withdrawal</t>
  </si>
  <si>
    <t>Balance
Corpus</t>
  </si>
  <si>
    <t>CHECK</t>
  </si>
  <si>
    <t>Interest / Gain</t>
  </si>
  <si>
    <t>No. of Years</t>
  </si>
  <si>
    <t>EoY*
Corpus</t>
  </si>
  <si>
    <r>
      <rPr>
        <b/>
        <sz val="11"/>
        <color rgb="FFFF0000"/>
        <rFont val="Calibri"/>
        <family val="2"/>
        <scheme val="minor"/>
      </rPr>
      <t>*SoY</t>
    </r>
    <r>
      <rPr>
        <b/>
        <sz val="11"/>
        <color theme="1"/>
        <rFont val="Calibri"/>
        <family val="2"/>
        <scheme val="minor"/>
      </rPr>
      <t xml:space="preserve"> </t>
    </r>
    <r>
      <rPr>
        <sz val="10"/>
        <rFont val="Arial"/>
        <family val="2"/>
      </rPr>
      <t>- Start of Year</t>
    </r>
  </si>
  <si>
    <r>
      <rPr>
        <b/>
        <sz val="11"/>
        <color rgb="FFFF0000"/>
        <rFont val="Calibri"/>
        <family val="2"/>
        <scheme val="minor"/>
      </rPr>
      <t>*EoY</t>
    </r>
    <r>
      <rPr>
        <b/>
        <sz val="11"/>
        <color theme="1"/>
        <rFont val="Calibri"/>
        <family val="2"/>
        <scheme val="minor"/>
      </rPr>
      <t xml:space="preserve"> </t>
    </r>
    <r>
      <rPr>
        <sz val="10"/>
        <rFont val="Arial"/>
        <family val="2"/>
      </rPr>
      <t>- End of Year</t>
    </r>
  </si>
  <si>
    <t>jayant singh</t>
  </si>
  <si>
    <t>archana singh</t>
  </si>
  <si>
    <t>aayush singh</t>
  </si>
  <si>
    <t>aayushi singh</t>
  </si>
  <si>
    <t>aayush's Higher Education</t>
  </si>
  <si>
    <t>aayushi's Graduation</t>
  </si>
  <si>
    <t>aayushi's Post Graduation</t>
  </si>
  <si>
    <t>The Calculator is developed by the RITE-O SOLUTIONS PVT LTD.</t>
  </si>
  <si>
    <t xml:space="preserve">These dynamic calculator is produced through series a of mathematical formulas. Utmost care is taken in creating the formulas. Certain assumptions are made in making the Calculator. The  plan so generated only helps the investors in making investment decisions. It may not or may not be suited to your needs or according to your own assumptions.  RITE-O SOLUTIONS PVT LTD or any of it employees or Partners are not responsible for any losses arising by the usage of these plan, or for any investments taken on its basis. </t>
  </si>
  <si>
    <t>You can alter values in HIGHLIGHTED cells</t>
  </si>
  <si>
    <r>
      <t xml:space="preserve">Return </t>
    </r>
    <r>
      <rPr>
        <sz val="11"/>
        <color theme="0"/>
        <rFont val="Calibri"/>
        <family val="2"/>
        <scheme val="minor"/>
      </rPr>
      <t>(p.a.)</t>
    </r>
  </si>
  <si>
    <r>
      <t xml:space="preserve">Withdrawal % </t>
    </r>
    <r>
      <rPr>
        <sz val="11"/>
        <color theme="0"/>
        <rFont val="Calibri"/>
        <family val="2"/>
        <scheme val="minor"/>
      </rPr>
      <t>(p.a.)</t>
    </r>
  </si>
  <si>
    <r>
      <t xml:space="preserve">Tax Slab </t>
    </r>
    <r>
      <rPr>
        <sz val="11"/>
        <color theme="0"/>
        <rFont val="Calibri"/>
        <family val="2"/>
        <scheme val="minor"/>
      </rPr>
      <t>(incl. S.T.)</t>
    </r>
  </si>
  <si>
    <r>
      <t xml:space="preserve">FD Return </t>
    </r>
    <r>
      <rPr>
        <sz val="11"/>
        <color theme="0"/>
        <rFont val="Calibri"/>
        <family val="2"/>
        <scheme val="minor"/>
      </rPr>
      <t>(p.a.)</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</si>
</sst>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2">
    <numFmt numFmtId="8" formatCode="&quot;$&quot;#,##0.00_);[Red]\(&quot;$&quot;#,##0.00\)"/>
    <numFmt numFmtId="43" formatCode="_(* #,##0.00_);_(* \(#,##0.00\);_(* &quot;-&quot;??_);_(@_)"/>
    <numFmt numFmtId="164" formatCode="&quot;₹&quot;\ #,##0;[Red]&quot;₹&quot;\ \-#,##0"/>
    <numFmt numFmtId="165" formatCode="&quot;₹&quot;\ #,##0.00;[Red]&quot;₹&quot;\ \-#,##0.00"/>
    <numFmt numFmtId="166" formatCode="_ * #,##0.00_ ;_ * \-#,##0.00_ ;_ * &quot;-&quot;??_ ;_ @_ "/>
    <numFmt numFmtId="167" formatCode="[$-F800]dddd\,\ mmmm\ dd\,\ yyyy"/>
    <numFmt numFmtId="168" formatCode="_(* #,##0_);_(* \(#,##0\);_(* &quot;-&quot;??_);_(@_)"/>
    <numFmt numFmtId="169" formatCode="[&gt;=10000000]##\,##\,##\,##0;[&gt;=100000]\ ##\,##\,##0;##,##0"/>
    <numFmt numFmtId="170" formatCode="_ * #,##0_ ;_ * \-#,##0_ ;_ * &quot;-&quot;??_ ;_ @_ "/>
    <numFmt numFmtId="171" formatCode="[$-409]d/mmm/yy;@"/>
    <numFmt numFmtId="172" formatCode="0.000%"/>
    <numFmt numFmtId="173" formatCode="0.000"/>
  </numFmts>
  <fonts count="94">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b/>
      <sz val="10"/>
      <name val="Arial"/>
      <family val="2"/>
    </font>
    <font>
      <sz val="10"/>
      <name val="Arial"/>
      <family val="2"/>
    </font>
    <font>
      <sz val="10"/>
      <color indexed="10"/>
      <name val="Arial"/>
      <family val="2"/>
    </font>
    <font>
      <b/>
      <sz val="12"/>
      <color indexed="16"/>
      <name val="Arial"/>
      <family val="2"/>
    </font>
    <font>
      <b/>
      <sz val="11"/>
      <color indexed="10"/>
      <name val="Arial"/>
      <family val="2"/>
    </font>
    <font>
      <sz val="8"/>
      <color indexed="10"/>
      <name val="Arial"/>
      <family val="2"/>
    </font>
    <font>
      <sz val="8"/>
      <name val="Arial"/>
      <family val="2"/>
    </font>
    <font>
      <b/>
      <sz val="8"/>
      <color indexed="61"/>
      <name val="Arial"/>
      <family val="2"/>
    </font>
    <font>
      <sz val="8"/>
      <name val="Monotype Corsiva"/>
      <family val="4"/>
    </font>
    <font>
      <b/>
      <sz val="8"/>
      <color indexed="12"/>
      <name val="Arial"/>
      <family val="2"/>
    </font>
    <font>
      <b/>
      <sz val="8"/>
      <name val="Arial"/>
      <family val="2"/>
    </font>
    <font>
      <sz val="10"/>
      <name val="Arial"/>
      <family val="2"/>
    </font>
    <font>
      <b/>
      <sz val="11"/>
      <name val="Arial"/>
      <family val="2"/>
    </font>
    <font>
      <sz val="11"/>
      <color theme="1"/>
      <name val="Calibri"/>
      <family val="2"/>
      <scheme val="minor"/>
    </font>
    <font>
      <sz val="11"/>
      <color theme="0"/>
      <name val="Calibri"/>
      <family val="2"/>
      <scheme val="minor"/>
    </font>
    <font>
      <u/>
      <sz val="11"/>
      <color theme="10"/>
      <name val="Calibri"/>
      <family val="2"/>
    </font>
    <font>
      <b/>
      <sz val="11"/>
      <color theme="1"/>
      <name val="Calibri"/>
      <family val="2"/>
      <scheme val="minor"/>
    </font>
    <font>
      <u/>
      <sz val="20"/>
      <color theme="1"/>
      <name val="Calibri"/>
      <family val="2"/>
    </font>
    <font>
      <b/>
      <sz val="10"/>
      <color rgb="FFFF0000"/>
      <name val="Arial"/>
      <family val="2"/>
    </font>
    <font>
      <b/>
      <sz val="14"/>
      <color rgb="FFFF0000"/>
      <name val="Arial"/>
      <family val="2"/>
    </font>
    <font>
      <b/>
      <sz val="12"/>
      <color theme="1"/>
      <name val="Calibri"/>
      <family val="2"/>
      <scheme val="minor"/>
    </font>
    <font>
      <sz val="12"/>
      <color theme="1"/>
      <name val="Calibri"/>
      <family val="2"/>
      <scheme val="minor"/>
    </font>
    <font>
      <sz val="11"/>
      <name val="Arial"/>
      <family val="2"/>
    </font>
    <font>
      <sz val="10"/>
      <color theme="0"/>
      <name val="Arial"/>
      <family val="2"/>
    </font>
    <font>
      <b/>
      <sz val="11"/>
      <name val="Calibri"/>
      <family val="2"/>
      <scheme val="minor"/>
    </font>
    <font>
      <sz val="11"/>
      <name val="Calibri"/>
      <family val="2"/>
      <scheme val="minor"/>
    </font>
    <font>
      <b/>
      <sz val="11"/>
      <color rgb="FFFF0000"/>
      <name val="Calibri"/>
      <family val="2"/>
      <scheme val="minor"/>
    </font>
    <font>
      <b/>
      <sz val="16"/>
      <color theme="1"/>
      <name val="Arial"/>
      <family val="2"/>
    </font>
    <font>
      <sz val="10"/>
      <color rgb="FFFF0000"/>
      <name val="Wingdings"/>
      <charset val="2"/>
    </font>
    <font>
      <sz val="11"/>
      <color rgb="FF000000"/>
      <name val="Calibri"/>
      <family val="2"/>
      <scheme val="minor"/>
    </font>
    <font>
      <sz val="11"/>
      <color rgb="FF000000"/>
      <name val="Calibri"/>
      <family val="2"/>
    </font>
    <font>
      <b/>
      <sz val="11"/>
      <color rgb="FF000000"/>
      <name val="Calibri"/>
      <family val="2"/>
    </font>
    <font>
      <b/>
      <sz val="12"/>
      <color rgb="FF000000"/>
      <name val="Calibri"/>
      <family val="2"/>
      <scheme val="minor"/>
    </font>
    <font>
      <b/>
      <sz val="12"/>
      <color rgb="FF000000"/>
      <name val="Calibri"/>
      <family val="2"/>
    </font>
    <font>
      <b/>
      <i/>
      <sz val="11"/>
      <color rgb="FF002060"/>
      <name val="Calibri"/>
      <family val="2"/>
    </font>
    <font>
      <sz val="11"/>
      <color rgb="FFFFFFFF"/>
      <name val="Calibri"/>
      <family val="2"/>
    </font>
    <font>
      <b/>
      <sz val="10.5"/>
      <color theme="1"/>
      <name val="Calibri"/>
      <family val="2"/>
      <scheme val="minor"/>
    </font>
    <font>
      <i/>
      <sz val="11"/>
      <color theme="1"/>
      <name val="Calibri"/>
      <family val="2"/>
      <scheme val="minor"/>
    </font>
    <font>
      <b/>
      <sz val="12"/>
      <color rgb="FFFF0000"/>
      <name val="Calibri"/>
      <family val="2"/>
      <scheme val="minor"/>
    </font>
    <font>
      <b/>
      <sz val="18"/>
      <name val="Calibri"/>
      <family val="2"/>
      <scheme val="minor"/>
    </font>
    <font>
      <b/>
      <sz val="24"/>
      <name val="Calibri"/>
      <family val="2"/>
      <scheme val="minor"/>
    </font>
    <font>
      <b/>
      <sz val="11"/>
      <color rgb="FFFF0000"/>
      <name val="Arial"/>
      <family val="2"/>
    </font>
    <font>
      <b/>
      <sz val="20"/>
      <color rgb="FFFF0000"/>
      <name val="Arial"/>
      <family val="2"/>
    </font>
    <font>
      <b/>
      <sz val="11"/>
      <color rgb="FFFF0000"/>
      <name val="Calibri"/>
      <family val="2"/>
    </font>
    <font>
      <b/>
      <sz val="11"/>
      <name val="Calibri"/>
      <family val="2"/>
    </font>
    <font>
      <b/>
      <sz val="12"/>
      <name val="Calibri"/>
      <family val="2"/>
      <scheme val="minor"/>
    </font>
    <font>
      <b/>
      <sz val="10.5"/>
      <name val="Calibri"/>
      <family val="2"/>
    </font>
    <font>
      <sz val="11"/>
      <name val="Calibri"/>
      <family val="2"/>
    </font>
    <font>
      <i/>
      <sz val="11"/>
      <name val="Calibri"/>
      <family val="2"/>
    </font>
    <font>
      <b/>
      <sz val="12"/>
      <color rgb="FFFF0000"/>
      <name val="Rupee"/>
    </font>
    <font>
      <b/>
      <sz val="11"/>
      <color theme="0"/>
      <name val="Calibri"/>
      <family val="2"/>
      <scheme val="minor"/>
    </font>
    <font>
      <b/>
      <sz val="16"/>
      <color theme="1"/>
      <name val="Calibri"/>
      <family val="2"/>
      <scheme val="minor"/>
    </font>
    <font>
      <b/>
      <sz val="16"/>
      <color theme="0"/>
      <name val="Arial"/>
      <family val="2"/>
    </font>
    <font>
      <b/>
      <sz val="16"/>
      <color theme="0"/>
      <name val="Calibri"/>
      <family val="2"/>
      <scheme val="minor"/>
    </font>
    <font>
      <b/>
      <sz val="11"/>
      <color theme="0"/>
      <name val="Arial"/>
      <family val="2"/>
    </font>
    <font>
      <b/>
      <sz val="11"/>
      <color rgb="FF7030A0"/>
      <name val="Arial"/>
      <family val="2"/>
    </font>
    <font>
      <b/>
      <sz val="14"/>
      <color theme="0"/>
      <name val="Calibri"/>
      <family val="2"/>
      <scheme val="minor"/>
    </font>
    <font>
      <b/>
      <sz val="11"/>
      <color rgb="FF002060"/>
      <name val="Calibri"/>
      <family val="2"/>
      <scheme val="minor"/>
    </font>
    <font>
      <b/>
      <sz val="12"/>
      <color theme="0"/>
      <name val="Calibri"/>
      <family val="2"/>
    </font>
    <font>
      <b/>
      <u/>
      <sz val="11"/>
      <color rgb="FF000000"/>
      <name val="Calibri"/>
      <family val="2"/>
    </font>
    <font>
      <i/>
      <sz val="11"/>
      <color rgb="FF002060"/>
      <name val="Calibri"/>
      <family val="2"/>
    </font>
    <font>
      <b/>
      <sz val="10"/>
      <color theme="0"/>
      <name val="Arial"/>
      <family val="2"/>
    </font>
    <font>
      <sz val="10"/>
      <color rgb="FFFF0000"/>
      <name val="Arial"/>
      <family val="2"/>
    </font>
    <font>
      <b/>
      <sz val="16"/>
      <color theme="9" tint="-0.249977111117893"/>
      <name val="Arial"/>
      <family val="2"/>
    </font>
    <font>
      <b/>
      <sz val="10"/>
      <color rgb="FFFFFF00"/>
      <name val="Arial"/>
      <family val="2"/>
    </font>
    <font>
      <sz val="11"/>
      <color rgb="FFFF0000"/>
      <name val="Calibri"/>
      <family val="2"/>
      <scheme val="minor"/>
    </font>
    <font>
      <b/>
      <sz val="11"/>
      <color theme="0"/>
      <name val="Calibri"/>
      <family val="2"/>
    </font>
    <font>
      <b/>
      <sz val="24"/>
      <color theme="0"/>
      <name val="Calibri"/>
      <family val="2"/>
      <scheme val="minor"/>
    </font>
    <font>
      <sz val="14"/>
      <color theme="1"/>
      <name val="Calibri"/>
      <family val="2"/>
      <scheme val="minor"/>
    </font>
    <font>
      <b/>
      <sz val="14"/>
      <color theme="1"/>
      <name val="Calibri"/>
      <family val="2"/>
      <scheme val="minor"/>
    </font>
    <font>
      <sz val="16"/>
      <color theme="1"/>
      <name val="Calibri"/>
      <family val="2"/>
      <scheme val="minor"/>
    </font>
    <font>
      <sz val="14"/>
      <color theme="0"/>
      <name val="Calibri"/>
      <family val="2"/>
      <scheme val="minor"/>
    </font>
    <font>
      <b/>
      <sz val="24"/>
      <color rgb="FFFFFF00"/>
      <name val="Calibri"/>
      <family val="2"/>
      <scheme val="minor"/>
    </font>
    <font>
      <b/>
      <u/>
      <sz val="16"/>
      <color rgb="FFFF0000"/>
      <name val="Calibri"/>
      <family val="2"/>
      <scheme val="minor"/>
    </font>
    <font>
      <b/>
      <u/>
      <sz val="12"/>
      <color rgb="FFFF0000"/>
      <name val="Calibri"/>
      <family val="2"/>
      <scheme val="minor"/>
    </font>
    <font>
      <sz val="24"/>
      <color theme="1"/>
      <name val="Calibri"/>
      <family val="2"/>
      <scheme val="minor"/>
    </font>
    <font>
      <b/>
      <sz val="14"/>
      <color rgb="FFFF0000"/>
      <name val="Calibri"/>
      <family val="2"/>
      <scheme val="minor"/>
    </font>
    <font>
      <sz val="10"/>
      <color theme="1"/>
      <name val="Calibri"/>
      <family val="2"/>
      <scheme val="minor"/>
    </font>
    <font>
      <sz val="9"/>
      <color theme="1"/>
      <name val="Calibri"/>
      <family val="2"/>
      <scheme val="minor"/>
    </font>
    <font>
      <i/>
      <sz val="9"/>
      <color theme="1"/>
      <name val="Calibri"/>
      <family val="2"/>
      <scheme val="minor"/>
    </font>
    <font>
      <sz val="12"/>
      <name val="Calibri"/>
      <family val="2"/>
      <scheme val="minor"/>
    </font>
    <font>
      <b/>
      <u/>
      <sz val="11"/>
      <color rgb="FFFF0000"/>
      <name val="Calibri"/>
      <family val="2"/>
      <scheme val="minor"/>
    </font>
    <font>
      <b/>
      <sz val="10"/>
      <color theme="1"/>
      <name val="Arial"/>
      <family val="2"/>
    </font>
  </fonts>
  <fills count="29">
    <fill>
      <patternFill patternType="none"/>
    </fill>
    <fill>
      <patternFill patternType="gray125"/>
    </fill>
    <fill>
      <patternFill patternType="solid">
        <fgColor indexed="9"/>
        <bgColor indexed="64"/>
      </patternFill>
    </fill>
    <fill>
      <patternFill patternType="solid">
        <fgColor theme="2" tint="-9.9978637043366805E-2"/>
        <bgColor indexed="64"/>
      </patternFill>
    </fill>
    <fill>
      <patternFill patternType="solid">
        <fgColor theme="0" tint="-4.9989318521683403E-2"/>
        <bgColor indexed="64"/>
      </patternFill>
    </fill>
    <fill>
      <patternFill patternType="solid">
        <fgColor theme="0"/>
        <bgColor indexed="64"/>
      </patternFill>
    </fill>
    <fill>
      <patternFill patternType="solid">
        <fgColor theme="0" tint="-0.249977111117893"/>
        <bgColor indexed="64"/>
      </patternFill>
    </fill>
    <fill>
      <patternFill patternType="solid">
        <fgColor theme="8" tint="0.59999389629810485"/>
        <bgColor indexed="64"/>
      </patternFill>
    </fill>
    <fill>
      <patternFill patternType="solid">
        <fgColor theme="6" tint="0.59999389629810485"/>
        <bgColor indexed="64"/>
      </patternFill>
    </fill>
    <fill>
      <patternFill patternType="solid">
        <fgColor theme="9" tint="0.79998168889431442"/>
        <bgColor indexed="64"/>
      </patternFill>
    </fill>
    <fill>
      <patternFill patternType="solid">
        <fgColor theme="6" tint="0.39997558519241921"/>
        <bgColor indexed="64"/>
      </patternFill>
    </fill>
    <fill>
      <patternFill patternType="solid">
        <fgColor theme="0"/>
        <bgColor rgb="FF000000"/>
      </patternFill>
    </fill>
    <fill>
      <patternFill patternType="solid">
        <fgColor theme="9" tint="0.79998168889431442"/>
        <bgColor rgb="FF000000"/>
      </patternFill>
    </fill>
    <fill>
      <patternFill patternType="solid">
        <fgColor theme="1"/>
        <bgColor indexed="64"/>
      </patternFill>
    </fill>
    <fill>
      <patternFill patternType="solid">
        <fgColor theme="9" tint="-0.249977111117893"/>
        <bgColor indexed="64"/>
      </patternFill>
    </fill>
    <fill>
      <patternFill patternType="solid">
        <fgColor theme="9" tint="0.59999389629810485"/>
        <bgColor indexed="64"/>
      </patternFill>
    </fill>
    <fill>
      <patternFill patternType="solid">
        <fgColor theme="5"/>
        <bgColor indexed="64"/>
      </patternFill>
    </fill>
    <fill>
      <patternFill patternType="solid">
        <fgColor theme="0" tint="-0.14999847407452621"/>
        <bgColor indexed="64"/>
      </patternFill>
    </fill>
    <fill>
      <patternFill patternType="solid">
        <fgColor rgb="FFFF0000"/>
        <bgColor indexed="64"/>
      </patternFill>
    </fill>
    <fill>
      <patternFill patternType="solid">
        <fgColor rgb="FFFFFF00"/>
        <bgColor indexed="64"/>
      </patternFill>
    </fill>
    <fill>
      <patternFill patternType="solid">
        <fgColor rgb="FF0070C0"/>
        <bgColor indexed="64"/>
      </patternFill>
    </fill>
    <fill>
      <patternFill patternType="solid">
        <fgColor rgb="FF92D050"/>
        <bgColor indexed="64"/>
      </patternFill>
    </fill>
    <fill>
      <patternFill patternType="solid">
        <fgColor rgb="FFC00000"/>
        <bgColor indexed="64"/>
      </patternFill>
    </fill>
    <fill>
      <patternFill patternType="solid">
        <fgColor rgb="FFFFC000"/>
        <bgColor indexed="64"/>
      </patternFill>
    </fill>
    <fill>
      <patternFill patternType="solid">
        <fgColor theme="8" tint="-0.249977111117893"/>
        <bgColor indexed="64"/>
      </patternFill>
    </fill>
    <fill>
      <patternFill patternType="solid">
        <fgColor theme="8" tint="0.39997558519241921"/>
        <bgColor indexed="64"/>
      </patternFill>
    </fill>
    <fill>
      <patternFill patternType="solid">
        <fgColor theme="8" tint="-0.499984740745262"/>
        <bgColor indexed="64"/>
      </patternFill>
    </fill>
    <fill>
      <patternFill patternType="solid">
        <fgColor theme="9" tint="0.39997558519241921"/>
        <bgColor indexed="64"/>
      </patternFill>
    </fill>
    <fill>
      <patternFill patternType="solid">
        <fgColor theme="9"/>
        <bgColor indexed="64"/>
      </patternFill>
    </fill>
  </fills>
  <borders count="66">
    <border>
      <left/>
      <right/>
      <top/>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thin">
        <color indexed="64"/>
      </top>
      <bottom/>
      <diagonal/>
    </border>
    <border>
      <left/>
      <right/>
      <top style="thin">
        <color indexed="64"/>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right/>
      <top style="thin">
        <color indexed="64"/>
      </top>
      <bottom style="medium">
        <color indexed="64"/>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right/>
      <top/>
      <bottom style="double">
        <color indexed="64"/>
      </bottom>
      <diagonal/>
    </border>
    <border>
      <left style="thick">
        <color indexed="64"/>
      </left>
      <right/>
      <top style="thick">
        <color indexed="64"/>
      </top>
      <bottom/>
      <diagonal/>
    </border>
    <border>
      <left/>
      <right/>
      <top style="thick">
        <color indexed="64"/>
      </top>
      <bottom/>
      <diagonal/>
    </border>
    <border>
      <left/>
      <right style="thick">
        <color indexed="64"/>
      </right>
      <top style="thick">
        <color indexed="64"/>
      </top>
      <bottom/>
      <diagonal/>
    </border>
    <border>
      <left style="thick">
        <color indexed="64"/>
      </left>
      <right/>
      <top/>
      <bottom/>
      <diagonal/>
    </border>
    <border>
      <left/>
      <right style="thick">
        <color indexed="64"/>
      </right>
      <top/>
      <bottom/>
      <diagonal/>
    </border>
    <border>
      <left style="thick">
        <color indexed="64"/>
      </left>
      <right/>
      <top style="thin">
        <color indexed="64"/>
      </top>
      <bottom style="thin">
        <color indexed="64"/>
      </bottom>
      <diagonal/>
    </border>
    <border>
      <left style="thin">
        <color indexed="64"/>
      </left>
      <right style="thick">
        <color indexed="64"/>
      </right>
      <top style="thin">
        <color indexed="64"/>
      </top>
      <bottom style="thin">
        <color indexed="64"/>
      </bottom>
      <diagonal/>
    </border>
    <border>
      <left style="thick">
        <color indexed="64"/>
      </left>
      <right/>
      <top style="thin">
        <color indexed="64"/>
      </top>
      <bottom style="thick">
        <color indexed="64"/>
      </bottom>
      <diagonal/>
    </border>
    <border>
      <left/>
      <right/>
      <top style="thin">
        <color indexed="64"/>
      </top>
      <bottom style="thick">
        <color indexed="64"/>
      </bottom>
      <diagonal/>
    </border>
    <border>
      <left/>
      <right style="thin">
        <color indexed="64"/>
      </right>
      <top style="thin">
        <color indexed="64"/>
      </top>
      <bottom style="thick">
        <color indexed="64"/>
      </bottom>
      <diagonal/>
    </border>
    <border>
      <left style="thin">
        <color indexed="64"/>
      </left>
      <right style="thick">
        <color indexed="64"/>
      </right>
      <top style="thin">
        <color indexed="64"/>
      </top>
      <bottom style="thick">
        <color indexed="64"/>
      </bottom>
      <diagonal/>
    </border>
    <border>
      <left style="medium">
        <color rgb="FF000000"/>
      </left>
      <right style="medium">
        <color rgb="FF000000"/>
      </right>
      <top style="medium">
        <color rgb="FF000000"/>
      </top>
      <bottom style="medium">
        <color rgb="FF000000"/>
      </bottom>
      <diagonal/>
    </border>
    <border>
      <left style="medium">
        <color rgb="FF000000"/>
      </left>
      <right style="medium">
        <color theme="0"/>
      </right>
      <top style="medium">
        <color rgb="FF000000"/>
      </top>
      <bottom style="medium">
        <color rgb="FF000000"/>
      </bottom>
      <diagonal/>
    </border>
    <border>
      <left style="medium">
        <color theme="0"/>
      </left>
      <right style="medium">
        <color rgb="FF000000"/>
      </right>
      <top style="medium">
        <color rgb="FF000000"/>
      </top>
      <bottom style="medium">
        <color rgb="FF000000"/>
      </bottom>
      <diagonal/>
    </border>
    <border>
      <left style="thin">
        <color indexed="64"/>
      </left>
      <right style="thin">
        <color theme="0"/>
      </right>
      <top style="thin">
        <color indexed="64"/>
      </top>
      <bottom style="thin">
        <color indexed="64"/>
      </bottom>
      <diagonal/>
    </border>
    <border>
      <left style="thin">
        <color theme="0"/>
      </left>
      <right style="thin">
        <color theme="0"/>
      </right>
      <top style="thin">
        <color indexed="64"/>
      </top>
      <bottom style="thin">
        <color indexed="64"/>
      </bottom>
      <diagonal/>
    </border>
    <border>
      <left style="thin">
        <color theme="0"/>
      </left>
      <right style="thin">
        <color indexed="64"/>
      </right>
      <top style="thin">
        <color indexed="64"/>
      </top>
      <bottom style="thin">
        <color indexed="64"/>
      </bottom>
      <diagonal/>
    </border>
    <border>
      <left style="thick">
        <color theme="0"/>
      </left>
      <right style="thick">
        <color theme="0"/>
      </right>
      <top style="thick">
        <color theme="0"/>
      </top>
      <bottom style="thick">
        <color theme="0"/>
      </bottom>
      <diagonal/>
    </border>
    <border>
      <left/>
      <right/>
      <top/>
      <bottom style="thick">
        <color theme="0"/>
      </bottom>
      <diagonal/>
    </border>
    <border>
      <left style="medium">
        <color indexed="64"/>
      </left>
      <right/>
      <top/>
      <bottom/>
      <diagonal/>
    </border>
    <border>
      <left/>
      <right style="medium">
        <color indexed="64"/>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theme="0"/>
      </top>
      <bottom style="thin">
        <color theme="0"/>
      </bottom>
      <diagonal/>
    </border>
    <border>
      <left style="thin">
        <color indexed="64"/>
      </left>
      <right style="thin">
        <color indexed="64"/>
      </right>
      <top style="thin">
        <color indexed="64"/>
      </top>
      <bottom style="thin">
        <color theme="0"/>
      </bottom>
      <diagonal/>
    </border>
    <border>
      <left style="thin">
        <color indexed="64"/>
      </left>
      <right style="thin">
        <color indexed="64"/>
      </right>
      <top style="thin">
        <color theme="0"/>
      </top>
      <bottom style="thin">
        <color indexed="64"/>
      </bottom>
      <diagonal/>
    </border>
    <border>
      <left style="thick">
        <color indexed="64"/>
      </left>
      <right/>
      <top style="thick">
        <color indexed="64"/>
      </top>
      <bottom style="thick">
        <color indexed="64"/>
      </bottom>
      <diagonal/>
    </border>
    <border>
      <left/>
      <right style="thick">
        <color indexed="64"/>
      </right>
      <top style="thick">
        <color indexed="64"/>
      </top>
      <bottom style="thick">
        <color indexed="64"/>
      </bottom>
      <diagonal/>
    </border>
    <border>
      <left style="medium">
        <color indexed="64"/>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medium">
        <color indexed="64"/>
      </right>
      <top style="medium">
        <color indexed="64"/>
      </top>
      <bottom/>
      <diagonal/>
    </border>
    <border>
      <left/>
      <right/>
      <top style="medium">
        <color theme="0"/>
      </top>
      <bottom style="medium">
        <color theme="0"/>
      </bottom>
      <diagonal/>
    </border>
    <border>
      <left style="medium">
        <color theme="0"/>
      </left>
      <right/>
      <top style="medium">
        <color theme="0"/>
      </top>
      <bottom style="medium">
        <color theme="0"/>
      </bottom>
      <diagonal/>
    </border>
    <border>
      <left/>
      <right style="medium">
        <color theme="0"/>
      </right>
      <top style="medium">
        <color theme="0"/>
      </top>
      <bottom style="medium">
        <color theme="0"/>
      </bottom>
      <diagonal/>
    </border>
    <border>
      <left style="medium">
        <color theme="0"/>
      </left>
      <right style="medium">
        <color theme="0"/>
      </right>
      <top style="medium">
        <color theme="0"/>
      </top>
      <bottom style="medium">
        <color theme="0"/>
      </bottom>
      <diagonal/>
    </border>
    <border>
      <left style="medium">
        <color theme="0"/>
      </left>
      <right style="thin">
        <color auto="1"/>
      </right>
      <top style="medium">
        <color theme="0"/>
      </top>
      <bottom style="medium">
        <color theme="0"/>
      </bottom>
      <diagonal/>
    </border>
    <border>
      <left/>
      <right/>
      <top style="medium">
        <color theme="0"/>
      </top>
      <bottom/>
      <diagonal/>
    </border>
    <border>
      <left style="medium">
        <color theme="0"/>
      </left>
      <right/>
      <top style="medium">
        <color theme="0"/>
      </top>
      <bottom/>
      <diagonal/>
    </border>
    <border>
      <left/>
      <right style="medium">
        <color theme="0"/>
      </right>
      <top style="medium">
        <color theme="0"/>
      </top>
      <bottom/>
      <diagonal/>
    </border>
    <border>
      <left style="medium">
        <color theme="0"/>
      </left>
      <right style="medium">
        <color theme="0"/>
      </right>
      <top style="medium">
        <color theme="0"/>
      </top>
      <bottom/>
      <diagonal/>
    </border>
    <border>
      <left style="medium">
        <color theme="0"/>
      </left>
      <right style="thin">
        <color auto="1"/>
      </right>
      <top style="medium">
        <color theme="0"/>
      </top>
      <bottom style="medium">
        <color indexed="64"/>
      </bottom>
      <diagonal/>
    </border>
  </borders>
  <cellStyleXfs count="20">
    <xf numFmtId="0" fontId="0" fillId="0" borderId="0"/>
    <xf numFmtId="166" fontId="22" fillId="0" borderId="0" applyFont="0" applyFill="0" applyBorder="0" applyAlignment="0" applyProtection="0"/>
    <xf numFmtId="0" fontId="26" fillId="0" borderId="0" applyNumberFormat="0" applyFill="0" applyBorder="0" applyAlignment="0" applyProtection="0">
      <alignment vertical="top"/>
      <protection locked="0"/>
    </xf>
    <xf numFmtId="0" fontId="12" fillId="0" borderId="0"/>
    <xf numFmtId="0" fontId="24" fillId="0" borderId="0"/>
    <xf numFmtId="9" fontId="10" fillId="0" borderId="0" applyFont="0" applyFill="0" applyBorder="0" applyAlignment="0" applyProtection="0"/>
    <xf numFmtId="0" fontId="9" fillId="0" borderId="0"/>
    <xf numFmtId="43" fontId="9" fillId="0" borderId="0" applyFont="0" applyFill="0" applyBorder="0" applyAlignment="0" applyProtection="0"/>
    <xf numFmtId="0" fontId="6" fillId="0" borderId="0"/>
    <xf numFmtId="0" fontId="40" fillId="0" borderId="0"/>
    <xf numFmtId="43" fontId="6" fillId="0" borderId="0" applyFont="0" applyFill="0" applyBorder="0" applyAlignment="0" applyProtection="0"/>
    <xf numFmtId="0" fontId="3" fillId="0" borderId="0"/>
    <xf numFmtId="166" fontId="3" fillId="0" borderId="0" applyFont="0" applyFill="0" applyBorder="0" applyAlignment="0" applyProtection="0"/>
    <xf numFmtId="43" fontId="3" fillId="0" borderId="0" applyFont="0" applyFill="0" applyBorder="0" applyAlignment="0" applyProtection="0"/>
    <xf numFmtId="9" fontId="3" fillId="0" borderId="0" applyFont="0" applyFill="0" applyBorder="0" applyAlignment="0" applyProtection="0"/>
    <xf numFmtId="0" fontId="2" fillId="0" borderId="0"/>
    <xf numFmtId="9" fontId="2" fillId="0" borderId="0" applyFont="0" applyFill="0" applyBorder="0" applyAlignment="0" applyProtection="0"/>
    <xf numFmtId="166" fontId="10" fillId="0" borderId="0" applyFont="0" applyFill="0" applyBorder="0" applyAlignment="0" applyProtection="0"/>
    <xf numFmtId="43" fontId="2" fillId="0" borderId="0" applyFont="0" applyFill="0" applyBorder="0" applyAlignment="0" applyProtection="0"/>
    <xf numFmtId="166" fontId="2" fillId="0" borderId="0" applyFont="0" applyFill="0" applyBorder="0" applyAlignment="0" applyProtection="0"/>
  </cellStyleXfs>
  <cellXfs count="733">
    <xf numFmtId="0" fontId="0" fillId="0" borderId="0" xfId="0"/>
    <xf numFmtId="0" fontId="0" fillId="2" borderId="0" xfId="0" applyFill="1" applyAlignment="1">
      <alignment vertical="center"/>
    </xf>
    <xf numFmtId="0" fontId="0" fillId="2" borderId="0" xfId="0" applyFill="1" applyBorder="1" applyAlignment="1">
      <alignment vertical="center"/>
    </xf>
    <xf numFmtId="0" fontId="15" fillId="3" borderId="0" xfId="0" applyFont="1" applyFill="1" applyBorder="1" applyAlignment="1">
      <alignment horizontal="center" vertical="center"/>
    </xf>
    <xf numFmtId="0" fontId="17" fillId="3" borderId="0" xfId="0" applyFont="1" applyFill="1" applyBorder="1" applyAlignment="1" applyProtection="1">
      <alignment vertical="center"/>
    </xf>
    <xf numFmtId="0" fontId="18" fillId="3" borderId="0" xfId="0" applyFont="1" applyFill="1" applyBorder="1" applyAlignment="1" applyProtection="1">
      <alignment horizontal="left" vertical="center" indent="4"/>
    </xf>
    <xf numFmtId="0" fontId="19" fillId="3" borderId="0" xfId="0" applyFont="1" applyFill="1" applyBorder="1" applyAlignment="1" applyProtection="1">
      <alignment horizontal="center" vertical="center"/>
    </xf>
    <xf numFmtId="0" fontId="12" fillId="3" borderId="0" xfId="0" applyFont="1" applyFill="1" applyBorder="1" applyAlignment="1" applyProtection="1">
      <alignment vertical="center"/>
    </xf>
    <xf numFmtId="0" fontId="0" fillId="3" borderId="0" xfId="0" applyFill="1" applyBorder="1" applyAlignment="1">
      <alignment vertical="center"/>
    </xf>
    <xf numFmtId="0" fontId="21" fillId="3" borderId="0" xfId="0" applyFont="1" applyFill="1" applyBorder="1" applyAlignment="1">
      <alignment vertical="center"/>
    </xf>
    <xf numFmtId="0" fontId="20" fillId="3" borderId="0" xfId="0" applyFont="1" applyFill="1" applyBorder="1" applyAlignment="1">
      <alignment vertical="center"/>
    </xf>
    <xf numFmtId="0" fontId="28" fillId="0" borderId="0" xfId="2" applyFont="1" applyFill="1" applyAlignment="1" applyProtection="1">
      <alignment horizontal="center" vertical="center"/>
    </xf>
    <xf numFmtId="0" fontId="10" fillId="4" borderId="0" xfId="3" applyFont="1" applyFill="1"/>
    <xf numFmtId="0" fontId="11" fillId="4" borderId="0" xfId="3" applyFont="1" applyFill="1"/>
    <xf numFmtId="0" fontId="10" fillId="5" borderId="0" xfId="3" applyFont="1" applyFill="1"/>
    <xf numFmtId="0" fontId="11" fillId="5" borderId="0" xfId="3" applyFont="1" applyFill="1" applyAlignment="1">
      <alignment horizontal="left"/>
    </xf>
    <xf numFmtId="0" fontId="6" fillId="0" borderId="0" xfId="8"/>
    <xf numFmtId="0" fontId="0" fillId="0" borderId="0" xfId="0" applyProtection="1">
      <protection hidden="1"/>
    </xf>
    <xf numFmtId="0" fontId="11" fillId="0" borderId="1" xfId="0" applyFont="1" applyBorder="1" applyAlignment="1" applyProtection="1">
      <alignment horizontal="center" vertical="center"/>
      <protection hidden="1"/>
    </xf>
    <xf numFmtId="0" fontId="0" fillId="0" borderId="1" xfId="0" applyBorder="1" applyAlignment="1" applyProtection="1">
      <alignment vertical="center"/>
      <protection hidden="1"/>
    </xf>
    <xf numFmtId="169" fontId="0" fillId="0" borderId="1" xfId="0" applyNumberFormat="1" applyBorder="1" applyAlignment="1" applyProtection="1">
      <alignment vertical="center"/>
      <protection hidden="1"/>
    </xf>
    <xf numFmtId="169" fontId="0" fillId="0" borderId="1" xfId="1" applyNumberFormat="1" applyFont="1" applyBorder="1" applyAlignment="1" applyProtection="1">
      <alignment vertical="center"/>
      <protection hidden="1"/>
    </xf>
    <xf numFmtId="171" fontId="0" fillId="0" borderId="0" xfId="0" applyNumberFormat="1" applyAlignment="1" applyProtection="1">
      <alignment vertical="center"/>
      <protection hidden="1"/>
    </xf>
    <xf numFmtId="0" fontId="0" fillId="0" borderId="0" xfId="0" applyAlignment="1" applyProtection="1">
      <alignment vertical="center"/>
      <protection hidden="1"/>
    </xf>
    <xf numFmtId="10" fontId="0" fillId="0" borderId="0" xfId="5" applyNumberFormat="1" applyFont="1" applyAlignment="1" applyProtection="1">
      <alignment vertical="center"/>
      <protection hidden="1"/>
    </xf>
    <xf numFmtId="1" fontId="0" fillId="0" borderId="0" xfId="0" applyNumberFormat="1" applyAlignment="1" applyProtection="1">
      <alignment vertical="center"/>
      <protection hidden="1"/>
    </xf>
    <xf numFmtId="169" fontId="0" fillId="0" borderId="0" xfId="0" applyNumberFormat="1" applyAlignment="1" applyProtection="1">
      <alignment vertical="center"/>
      <protection hidden="1"/>
    </xf>
    <xf numFmtId="9" fontId="0" fillId="5" borderId="0" xfId="0" applyNumberFormat="1" applyFill="1" applyAlignment="1" applyProtection="1">
      <alignment vertical="center"/>
      <protection hidden="1"/>
    </xf>
    <xf numFmtId="170" fontId="0" fillId="0" borderId="0" xfId="1" applyNumberFormat="1" applyFont="1" applyAlignment="1" applyProtection="1">
      <alignment vertical="center"/>
      <protection hidden="1"/>
    </xf>
    <xf numFmtId="0" fontId="29" fillId="0" borderId="0" xfId="0" applyFont="1" applyAlignment="1" applyProtection="1">
      <alignment vertical="center"/>
      <protection hidden="1"/>
    </xf>
    <xf numFmtId="0" fontId="10" fillId="0" borderId="1" xfId="0" applyFont="1" applyBorder="1" applyAlignment="1" applyProtection="1">
      <alignment vertical="center"/>
      <protection hidden="1"/>
    </xf>
    <xf numFmtId="0" fontId="11" fillId="0" borderId="1" xfId="0" applyFont="1" applyBorder="1" applyAlignment="1" applyProtection="1">
      <alignment vertical="center"/>
      <protection hidden="1"/>
    </xf>
    <xf numFmtId="169" fontId="29" fillId="0" borderId="14" xfId="0" applyNumberFormat="1" applyFont="1" applyBorder="1" applyAlignment="1" applyProtection="1">
      <alignment vertical="center"/>
      <protection hidden="1"/>
    </xf>
    <xf numFmtId="0" fontId="9" fillId="5" borderId="0" xfId="6" applyFill="1" applyProtection="1">
      <protection hidden="1"/>
    </xf>
    <xf numFmtId="0" fontId="9" fillId="5" borderId="0" xfId="6" applyFill="1" applyAlignment="1" applyProtection="1">
      <alignment vertical="center"/>
      <protection hidden="1"/>
    </xf>
    <xf numFmtId="0" fontId="8" fillId="5" borderId="0" xfId="6" applyFont="1" applyFill="1" applyProtection="1">
      <protection hidden="1"/>
    </xf>
    <xf numFmtId="169" fontId="9" fillId="5" borderId="0" xfId="6" applyNumberFormat="1" applyFill="1" applyProtection="1">
      <protection hidden="1"/>
    </xf>
    <xf numFmtId="0" fontId="9" fillId="5" borderId="0" xfId="6" applyFill="1" applyBorder="1" applyProtection="1">
      <protection hidden="1"/>
    </xf>
    <xf numFmtId="169" fontId="9" fillId="5" borderId="1" xfId="6" applyNumberFormat="1" applyFill="1" applyBorder="1" applyProtection="1">
      <protection hidden="1"/>
    </xf>
    <xf numFmtId="169" fontId="9" fillId="5" borderId="8" xfId="6" applyNumberFormat="1" applyFill="1" applyBorder="1" applyProtection="1">
      <protection hidden="1"/>
    </xf>
    <xf numFmtId="169" fontId="9" fillId="5" borderId="12" xfId="6" applyNumberFormat="1" applyFill="1" applyBorder="1" applyProtection="1">
      <protection hidden="1"/>
    </xf>
    <xf numFmtId="169" fontId="49" fillId="5" borderId="0" xfId="6" applyNumberFormat="1" applyFont="1" applyFill="1" applyBorder="1" applyProtection="1">
      <protection hidden="1"/>
    </xf>
    <xf numFmtId="0" fontId="35" fillId="5" borderId="1" xfId="6" applyFont="1" applyFill="1" applyBorder="1" applyAlignment="1" applyProtection="1">
      <alignment horizontal="center"/>
      <protection hidden="1"/>
    </xf>
    <xf numFmtId="9" fontId="27" fillId="4" borderId="1" xfId="6" applyNumberFormat="1" applyFont="1" applyFill="1" applyBorder="1" applyAlignment="1" applyProtection="1">
      <alignment horizontal="center" vertical="center"/>
      <protection hidden="1"/>
    </xf>
    <xf numFmtId="169" fontId="9" fillId="8" borderId="1" xfId="6" applyNumberFormat="1" applyFill="1" applyBorder="1" applyProtection="1">
      <protection hidden="1"/>
    </xf>
    <xf numFmtId="169" fontId="9" fillId="7" borderId="1" xfId="6" applyNumberFormat="1" applyFill="1" applyBorder="1" applyProtection="1">
      <protection hidden="1"/>
    </xf>
    <xf numFmtId="9" fontId="27" fillId="8" borderId="1" xfId="6" applyNumberFormat="1" applyFont="1" applyFill="1" applyBorder="1" applyAlignment="1" applyProtection="1">
      <alignment horizontal="center" vertical="center"/>
      <protection hidden="1"/>
    </xf>
    <xf numFmtId="169" fontId="9" fillId="8" borderId="8" xfId="6" applyNumberFormat="1" applyFill="1" applyBorder="1" applyProtection="1">
      <protection hidden="1"/>
    </xf>
    <xf numFmtId="9" fontId="27" fillId="7" borderId="1" xfId="6" applyNumberFormat="1" applyFont="1" applyFill="1" applyBorder="1" applyAlignment="1" applyProtection="1">
      <alignment horizontal="center" vertical="center"/>
      <protection hidden="1"/>
    </xf>
    <xf numFmtId="169" fontId="9" fillId="7" borderId="8" xfId="6" applyNumberFormat="1" applyFill="1" applyBorder="1" applyProtection="1">
      <protection hidden="1"/>
    </xf>
    <xf numFmtId="0" fontId="9" fillId="5" borderId="0" xfId="6" applyFill="1" applyBorder="1" applyAlignment="1" applyProtection="1">
      <alignment vertical="center"/>
      <protection hidden="1"/>
    </xf>
    <xf numFmtId="169" fontId="37" fillId="5" borderId="0" xfId="6" applyNumberFormat="1" applyFont="1" applyFill="1" applyBorder="1" applyAlignment="1" applyProtection="1">
      <alignment vertical="center"/>
      <protection hidden="1"/>
    </xf>
    <xf numFmtId="0" fontId="0" fillId="5" borderId="0" xfId="0" applyFill="1" applyBorder="1" applyProtection="1">
      <protection hidden="1"/>
    </xf>
    <xf numFmtId="9" fontId="32" fillId="9" borderId="1" xfId="6" applyNumberFormat="1" applyFont="1" applyFill="1" applyBorder="1" applyAlignment="1" applyProtection="1">
      <alignment vertical="center"/>
      <protection locked="0" hidden="1"/>
    </xf>
    <xf numFmtId="0" fontId="9" fillId="5" borderId="10" xfId="6" applyFill="1" applyBorder="1" applyProtection="1">
      <protection hidden="1"/>
    </xf>
    <xf numFmtId="0" fontId="9" fillId="5" borderId="11" xfId="6" applyFill="1" applyBorder="1" applyProtection="1">
      <protection hidden="1"/>
    </xf>
    <xf numFmtId="0" fontId="9" fillId="5" borderId="13" xfId="6" applyFill="1" applyBorder="1" applyProtection="1">
      <protection hidden="1"/>
    </xf>
    <xf numFmtId="0" fontId="9" fillId="5" borderId="2" xfId="6" applyFill="1" applyBorder="1" applyAlignment="1" applyProtection="1">
      <alignment vertical="center"/>
      <protection hidden="1"/>
    </xf>
    <xf numFmtId="0" fontId="9" fillId="5" borderId="3" xfId="6" applyFill="1" applyBorder="1" applyAlignment="1" applyProtection="1">
      <alignment vertical="center"/>
      <protection hidden="1"/>
    </xf>
    <xf numFmtId="0" fontId="9" fillId="5" borderId="2" xfId="6" applyFill="1" applyBorder="1" applyProtection="1">
      <protection hidden="1"/>
    </xf>
    <xf numFmtId="0" fontId="9" fillId="5" borderId="3" xfId="6" applyFill="1" applyBorder="1" applyProtection="1">
      <protection hidden="1"/>
    </xf>
    <xf numFmtId="0" fontId="9" fillId="5" borderId="4" xfId="6" applyFill="1" applyBorder="1" applyProtection="1">
      <protection hidden="1"/>
    </xf>
    <xf numFmtId="0" fontId="0" fillId="5" borderId="5" xfId="0" applyFill="1" applyBorder="1" applyProtection="1">
      <protection hidden="1"/>
    </xf>
    <xf numFmtId="0" fontId="9" fillId="5" borderId="6" xfId="6" applyFill="1" applyBorder="1" applyProtection="1">
      <protection hidden="1"/>
    </xf>
    <xf numFmtId="0" fontId="35" fillId="5" borderId="12" xfId="6" applyFont="1" applyFill="1" applyBorder="1" applyAlignment="1" applyProtection="1">
      <alignment horizontal="center"/>
      <protection hidden="1"/>
    </xf>
    <xf numFmtId="0" fontId="27" fillId="4" borderId="12" xfId="6" applyFont="1" applyFill="1" applyBorder="1" applyAlignment="1" applyProtection="1">
      <alignment horizontal="center"/>
      <protection hidden="1"/>
    </xf>
    <xf numFmtId="0" fontId="9" fillId="5" borderId="5" xfId="6" applyFill="1" applyBorder="1" applyProtection="1">
      <protection hidden="1"/>
    </xf>
    <xf numFmtId="169" fontId="27" fillId="4" borderId="1" xfId="6" applyNumberFormat="1" applyFont="1" applyFill="1" applyBorder="1" applyAlignment="1" applyProtection="1">
      <alignment horizontal="center" vertical="center"/>
      <protection hidden="1"/>
    </xf>
    <xf numFmtId="10" fontId="9" fillId="5" borderId="8" xfId="5" applyNumberFormat="1" applyFont="1" applyFill="1" applyBorder="1" applyProtection="1">
      <protection hidden="1"/>
    </xf>
    <xf numFmtId="10" fontId="9" fillId="5" borderId="0" xfId="5" applyNumberFormat="1" applyFont="1" applyFill="1" applyBorder="1" applyProtection="1">
      <protection hidden="1"/>
    </xf>
    <xf numFmtId="10" fontId="9" fillId="5" borderId="6" xfId="5" applyNumberFormat="1" applyFont="1" applyFill="1" applyBorder="1" applyProtection="1">
      <protection hidden="1"/>
    </xf>
    <xf numFmtId="0" fontId="0" fillId="5" borderId="0" xfId="0" applyFill="1" applyProtection="1">
      <protection hidden="1"/>
    </xf>
    <xf numFmtId="0" fontId="0" fillId="5" borderId="0" xfId="0" applyFill="1" applyBorder="1" applyAlignment="1" applyProtection="1">
      <alignment vertical="center"/>
      <protection hidden="1"/>
    </xf>
    <xf numFmtId="0" fontId="0" fillId="5" borderId="0" xfId="0" applyFill="1" applyAlignment="1" applyProtection="1">
      <alignment vertical="center"/>
      <protection hidden="1"/>
    </xf>
    <xf numFmtId="0" fontId="33" fillId="5" borderId="0" xfId="0" applyFont="1" applyFill="1" applyBorder="1" applyAlignment="1" applyProtection="1">
      <alignment vertical="center"/>
      <protection hidden="1"/>
    </xf>
    <xf numFmtId="0" fontId="52" fillId="5" borderId="0" xfId="0" applyFont="1" applyFill="1" applyBorder="1" applyAlignment="1" applyProtection="1">
      <alignment vertical="center"/>
      <protection hidden="1"/>
    </xf>
    <xf numFmtId="8" fontId="0" fillId="5" borderId="0" xfId="0" applyNumberFormat="1" applyFill="1" applyAlignment="1" applyProtection="1">
      <alignment vertical="center"/>
      <protection hidden="1"/>
    </xf>
    <xf numFmtId="0" fontId="53" fillId="5" borderId="0" xfId="0" applyFont="1" applyFill="1" applyBorder="1" applyAlignment="1" applyProtection="1">
      <alignment horizontal="center" vertical="center"/>
      <protection hidden="1"/>
    </xf>
    <xf numFmtId="0" fontId="52" fillId="5" borderId="0" xfId="0" applyFont="1" applyFill="1" applyBorder="1" applyAlignment="1" applyProtection="1">
      <alignment horizontal="left" vertical="center"/>
      <protection hidden="1"/>
    </xf>
    <xf numFmtId="0" fontId="39" fillId="5" borderId="0" xfId="0" applyFont="1" applyFill="1" applyBorder="1" applyAlignment="1" applyProtection="1">
      <alignment horizontal="right" vertical="center"/>
      <protection hidden="1"/>
    </xf>
    <xf numFmtId="8" fontId="0" fillId="5" borderId="0" xfId="0" applyNumberFormat="1" applyFill="1" applyBorder="1" applyAlignment="1" applyProtection="1">
      <alignment vertical="center"/>
      <protection hidden="1"/>
    </xf>
    <xf numFmtId="0" fontId="10" fillId="5" borderId="0" xfId="0" applyFont="1" applyFill="1" applyBorder="1" applyAlignment="1" applyProtection="1">
      <alignment vertical="center"/>
      <protection hidden="1"/>
    </xf>
    <xf numFmtId="0" fontId="34" fillId="5" borderId="0" xfId="0" applyFont="1" applyFill="1" applyBorder="1" applyAlignment="1" applyProtection="1">
      <alignment vertical="center"/>
      <protection hidden="1"/>
    </xf>
    <xf numFmtId="43" fontId="0" fillId="5" borderId="0" xfId="0" applyNumberFormat="1" applyFill="1" applyBorder="1" applyProtection="1">
      <protection hidden="1"/>
    </xf>
    <xf numFmtId="0" fontId="10" fillId="5" borderId="0" xfId="0" applyFont="1" applyFill="1" applyBorder="1" applyProtection="1">
      <protection hidden="1"/>
    </xf>
    <xf numFmtId="0" fontId="38" fillId="5" borderId="0" xfId="0" applyFont="1" applyFill="1" applyBorder="1" applyAlignment="1" applyProtection="1">
      <alignment horizontal="center" vertical="center"/>
      <protection hidden="1"/>
    </xf>
    <xf numFmtId="0" fontId="39" fillId="5" borderId="0" xfId="0" applyFont="1" applyFill="1" applyBorder="1" applyAlignment="1" applyProtection="1">
      <alignment vertical="center"/>
      <protection hidden="1"/>
    </xf>
    <xf numFmtId="0" fontId="11" fillId="5" borderId="0" xfId="0" applyFont="1" applyFill="1" applyBorder="1" applyAlignment="1" applyProtection="1">
      <alignment horizontal="center" vertical="center"/>
      <protection hidden="1"/>
    </xf>
    <xf numFmtId="0" fontId="11" fillId="5" borderId="0" xfId="0" applyFont="1" applyFill="1" applyBorder="1" applyAlignment="1" applyProtection="1">
      <alignment horizontal="right" vertical="center"/>
      <protection hidden="1"/>
    </xf>
    <xf numFmtId="0" fontId="17" fillId="5" borderId="0" xfId="0" applyFont="1" applyFill="1" applyBorder="1" applyAlignment="1" applyProtection="1">
      <alignment horizontal="center"/>
      <protection hidden="1"/>
    </xf>
    <xf numFmtId="170" fontId="17" fillId="5" borderId="0" xfId="0" applyNumberFormat="1" applyFont="1" applyFill="1" applyBorder="1" applyProtection="1">
      <protection hidden="1"/>
    </xf>
    <xf numFmtId="170" fontId="17" fillId="5" borderId="0" xfId="1" applyNumberFormat="1" applyFont="1" applyFill="1" applyBorder="1" applyProtection="1">
      <protection hidden="1"/>
    </xf>
    <xf numFmtId="168" fontId="17" fillId="5" borderId="0" xfId="0" applyNumberFormat="1" applyFont="1" applyFill="1" applyBorder="1" applyProtection="1">
      <protection hidden="1"/>
    </xf>
    <xf numFmtId="0" fontId="27" fillId="5" borderId="0" xfId="0" applyFont="1" applyFill="1" applyBorder="1" applyProtection="1">
      <protection hidden="1"/>
    </xf>
    <xf numFmtId="0" fontId="27" fillId="5" borderId="0" xfId="0" applyFont="1" applyFill="1" applyBorder="1" applyAlignment="1" applyProtection="1">
      <alignment vertical="center"/>
      <protection hidden="1"/>
    </xf>
    <xf numFmtId="0" fontId="35" fillId="5" borderId="0" xfId="0" applyFont="1" applyFill="1" applyBorder="1" applyAlignment="1" applyProtection="1">
      <alignment vertical="center"/>
      <protection hidden="1"/>
    </xf>
    <xf numFmtId="0" fontId="36" fillId="5" borderId="0" xfId="0" applyFont="1" applyFill="1" applyBorder="1" applyAlignment="1" applyProtection="1">
      <alignment vertical="center"/>
      <protection hidden="1"/>
    </xf>
    <xf numFmtId="0" fontId="27" fillId="5" borderId="0" xfId="0" applyFont="1" applyFill="1" applyBorder="1" applyAlignment="1" applyProtection="1">
      <alignment horizontal="left" vertical="center"/>
      <protection hidden="1"/>
    </xf>
    <xf numFmtId="0" fontId="27" fillId="5" borderId="0" xfId="0" applyFont="1" applyFill="1" applyBorder="1" applyAlignment="1" applyProtection="1">
      <alignment horizontal="centerContinuous" vertical="center"/>
      <protection hidden="1"/>
    </xf>
    <xf numFmtId="0" fontId="25" fillId="5" borderId="0" xfId="0" applyFont="1" applyFill="1" applyBorder="1" applyAlignment="1" applyProtection="1">
      <alignment vertical="center"/>
      <protection hidden="1"/>
    </xf>
    <xf numFmtId="0" fontId="37" fillId="5" borderId="0" xfId="0" applyFont="1" applyFill="1" applyAlignment="1" applyProtection="1">
      <alignment vertical="center"/>
      <protection hidden="1"/>
    </xf>
    <xf numFmtId="169" fontId="37" fillId="5" borderId="9" xfId="1" applyNumberFormat="1" applyFont="1" applyFill="1" applyBorder="1" applyAlignment="1" applyProtection="1">
      <alignment vertical="center"/>
      <protection hidden="1"/>
    </xf>
    <xf numFmtId="0" fontId="35" fillId="5" borderId="1" xfId="0" applyFont="1" applyFill="1" applyBorder="1" applyAlignment="1" applyProtection="1">
      <alignment horizontal="center" vertical="center"/>
      <protection hidden="1"/>
    </xf>
    <xf numFmtId="9" fontId="35" fillId="5" borderId="0" xfId="0" applyNumberFormat="1" applyFont="1" applyFill="1" applyBorder="1" applyAlignment="1" applyProtection="1">
      <alignment vertical="center"/>
      <protection hidden="1"/>
    </xf>
    <xf numFmtId="0" fontId="0" fillId="9" borderId="1" xfId="0" applyFill="1" applyBorder="1" applyAlignment="1" applyProtection="1">
      <alignment vertical="center"/>
      <protection locked="0" hidden="1"/>
    </xf>
    <xf numFmtId="169" fontId="0" fillId="9" borderId="1" xfId="0" applyNumberFormat="1" applyFill="1" applyBorder="1" applyAlignment="1" applyProtection="1">
      <alignment vertical="center"/>
      <protection locked="0" hidden="1"/>
    </xf>
    <xf numFmtId="9" fontId="36" fillId="9" borderId="1" xfId="0" applyNumberFormat="1" applyFont="1" applyFill="1" applyBorder="1" applyAlignment="1" applyProtection="1">
      <alignment vertical="center"/>
      <protection locked="0" hidden="1"/>
    </xf>
    <xf numFmtId="169" fontId="36" fillId="9" borderId="1" xfId="0" applyNumberFormat="1" applyFont="1" applyFill="1" applyBorder="1" applyAlignment="1" applyProtection="1">
      <alignment vertical="center"/>
      <protection locked="0" hidden="1"/>
    </xf>
    <xf numFmtId="9" fontId="0" fillId="9" borderId="1" xfId="0" applyNumberFormat="1" applyFill="1" applyBorder="1" applyAlignment="1" applyProtection="1">
      <alignment vertical="center"/>
      <protection locked="0" hidden="1"/>
    </xf>
    <xf numFmtId="0" fontId="0" fillId="9" borderId="1" xfId="0" applyFill="1" applyBorder="1" applyAlignment="1" applyProtection="1">
      <alignment horizontal="right" vertical="center"/>
      <protection locked="0" hidden="1"/>
    </xf>
    <xf numFmtId="169" fontId="52" fillId="5" borderId="0" xfId="1" applyNumberFormat="1" applyFont="1" applyFill="1" applyBorder="1" applyAlignment="1" applyProtection="1">
      <alignment vertical="center"/>
      <protection hidden="1"/>
    </xf>
    <xf numFmtId="169" fontId="33" fillId="9" borderId="1" xfId="1" applyNumberFormat="1" applyFont="1" applyFill="1" applyBorder="1" applyAlignment="1" applyProtection="1">
      <alignment vertical="center"/>
      <protection locked="0" hidden="1"/>
    </xf>
    <xf numFmtId="9" fontId="33" fillId="9" borderId="1" xfId="0" applyNumberFormat="1" applyFont="1" applyFill="1" applyBorder="1" applyAlignment="1" applyProtection="1">
      <alignment vertical="center"/>
      <protection locked="0" hidden="1"/>
    </xf>
    <xf numFmtId="170" fontId="33" fillId="9" borderId="1" xfId="1" applyNumberFormat="1" applyFont="1" applyFill="1" applyBorder="1" applyAlignment="1" applyProtection="1">
      <alignment vertical="center"/>
      <protection locked="0" hidden="1"/>
    </xf>
    <xf numFmtId="0" fontId="6" fillId="5" borderId="0" xfId="8" applyFill="1"/>
    <xf numFmtId="0" fontId="41" fillId="11" borderId="10" xfId="9" applyFont="1" applyFill="1" applyBorder="1"/>
    <xf numFmtId="0" fontId="41" fillId="11" borderId="11" xfId="9" applyFont="1" applyFill="1" applyBorder="1"/>
    <xf numFmtId="0" fontId="41" fillId="11" borderId="13" xfId="9" applyFont="1" applyFill="1" applyBorder="1"/>
    <xf numFmtId="0" fontId="41" fillId="11" borderId="2" xfId="9" applyFont="1" applyFill="1" applyBorder="1"/>
    <xf numFmtId="0" fontId="42" fillId="11" borderId="0" xfId="9" applyFont="1" applyFill="1" applyBorder="1"/>
    <xf numFmtId="0" fontId="41" fillId="11" borderId="3" xfId="9" applyFont="1" applyFill="1" applyBorder="1"/>
    <xf numFmtId="0" fontId="46" fillId="11" borderId="10" xfId="9" applyFont="1" applyFill="1" applyBorder="1"/>
    <xf numFmtId="0" fontId="46" fillId="11" borderId="11" xfId="9" applyFont="1" applyFill="1" applyBorder="1"/>
    <xf numFmtId="0" fontId="46" fillId="11" borderId="13" xfId="9" applyFont="1" applyFill="1" applyBorder="1"/>
    <xf numFmtId="0" fontId="46" fillId="11" borderId="2" xfId="9" applyFont="1" applyFill="1" applyBorder="1"/>
    <xf numFmtId="0" fontId="55" fillId="11" borderId="0" xfId="9" applyFont="1" applyFill="1" applyBorder="1"/>
    <xf numFmtId="0" fontId="46" fillId="11" borderId="3" xfId="9" applyFont="1" applyFill="1" applyBorder="1"/>
    <xf numFmtId="0" fontId="55" fillId="11" borderId="1" xfId="9" applyFont="1" applyFill="1" applyBorder="1"/>
    <xf numFmtId="169" fontId="56" fillId="11" borderId="1" xfId="9" applyNumberFormat="1" applyFont="1" applyFill="1" applyBorder="1" applyAlignment="1">
      <alignment horizontal="center"/>
    </xf>
    <xf numFmtId="0" fontId="56" fillId="11" borderId="1" xfId="9" applyFont="1" applyFill="1" applyBorder="1" applyAlignment="1">
      <alignment horizontal="center"/>
    </xf>
    <xf numFmtId="0" fontId="57" fillId="11" borderId="1" xfId="9" applyFont="1" applyFill="1" applyBorder="1"/>
    <xf numFmtId="0" fontId="55" fillId="11" borderId="1" xfId="9" applyFont="1" applyFill="1" applyBorder="1" applyAlignment="1">
      <alignment horizontal="center"/>
    </xf>
    <xf numFmtId="0" fontId="58" fillId="11" borderId="0" xfId="9" applyFont="1" applyFill="1" applyBorder="1"/>
    <xf numFmtId="0" fontId="46" fillId="11" borderId="4" xfId="9" applyFont="1" applyFill="1" applyBorder="1"/>
    <xf numFmtId="0" fontId="58" fillId="11" borderId="5" xfId="9" applyFont="1" applyFill="1" applyBorder="1"/>
    <xf numFmtId="0" fontId="46" fillId="11" borderId="6" xfId="9" applyFont="1" applyFill="1" applyBorder="1"/>
    <xf numFmtId="169" fontId="43" fillId="12" borderId="1" xfId="9" applyNumberFormat="1" applyFont="1" applyFill="1" applyBorder="1" applyAlignment="1" applyProtection="1">
      <alignment horizontal="center"/>
      <protection locked="0"/>
    </xf>
    <xf numFmtId="10" fontId="44" fillId="12" borderId="1" xfId="9" applyNumberFormat="1" applyFont="1" applyFill="1" applyBorder="1" applyAlignment="1" applyProtection="1">
      <alignment horizontal="center"/>
      <protection locked="0"/>
    </xf>
    <xf numFmtId="0" fontId="44" fillId="12" borderId="1" xfId="9" applyFont="1" applyFill="1" applyBorder="1" applyAlignment="1" applyProtection="1">
      <alignment horizontal="center"/>
      <protection locked="0"/>
    </xf>
    <xf numFmtId="9" fontId="44" fillId="12" borderId="1" xfId="9" applyNumberFormat="1" applyFont="1" applyFill="1" applyBorder="1" applyAlignment="1" applyProtection="1">
      <alignment horizontal="center"/>
      <protection locked="0"/>
    </xf>
    <xf numFmtId="0" fontId="54" fillId="11" borderId="0" xfId="9" applyFont="1" applyFill="1" applyBorder="1"/>
    <xf numFmtId="169" fontId="49" fillId="11" borderId="0" xfId="9" applyNumberFormat="1" applyFont="1" applyFill="1" applyBorder="1" applyAlignment="1">
      <alignment horizontal="center"/>
    </xf>
    <xf numFmtId="169" fontId="60" fillId="11" borderId="1" xfId="9" applyNumberFormat="1" applyFont="1" applyFill="1" applyBorder="1" applyAlignment="1">
      <alignment horizontal="center"/>
    </xf>
    <xf numFmtId="169" fontId="61" fillId="13" borderId="0" xfId="6" applyNumberFormat="1" applyFont="1" applyFill="1" applyBorder="1" applyAlignment="1" applyProtection="1">
      <alignment vertical="center"/>
      <protection hidden="1"/>
    </xf>
    <xf numFmtId="0" fontId="49" fillId="5" borderId="7" xfId="6" applyFont="1" applyFill="1" applyBorder="1" applyAlignment="1" applyProtection="1">
      <alignment vertical="center"/>
      <protection hidden="1"/>
    </xf>
    <xf numFmtId="0" fontId="27" fillId="5" borderId="15" xfId="6" applyFont="1" applyFill="1" applyBorder="1" applyAlignment="1" applyProtection="1">
      <alignment vertical="center"/>
      <protection hidden="1"/>
    </xf>
    <xf numFmtId="0" fontId="27" fillId="5" borderId="8" xfId="6" applyFont="1" applyFill="1" applyBorder="1" applyAlignment="1" applyProtection="1">
      <alignment vertical="center"/>
      <protection hidden="1"/>
    </xf>
    <xf numFmtId="169" fontId="49" fillId="5" borderId="1" xfId="6" applyNumberFormat="1" applyFont="1" applyFill="1" applyBorder="1" applyAlignment="1" applyProtection="1">
      <alignment vertical="center"/>
      <protection hidden="1"/>
    </xf>
    <xf numFmtId="0" fontId="32" fillId="5" borderId="7" xfId="6" applyFont="1" applyFill="1" applyBorder="1" applyAlignment="1" applyProtection="1">
      <alignment vertical="center"/>
      <protection hidden="1"/>
    </xf>
    <xf numFmtId="0" fontId="9" fillId="5" borderId="6" xfId="6" applyFill="1" applyBorder="1" applyAlignment="1" applyProtection="1">
      <alignment vertical="center"/>
      <protection hidden="1"/>
    </xf>
    <xf numFmtId="0" fontId="9" fillId="5" borderId="15" xfId="6" applyFill="1" applyBorder="1" applyAlignment="1" applyProtection="1">
      <alignment vertical="center"/>
      <protection hidden="1"/>
    </xf>
    <xf numFmtId="0" fontId="9" fillId="5" borderId="8" xfId="6" applyFill="1" applyBorder="1" applyAlignment="1" applyProtection="1">
      <alignment vertical="center"/>
      <protection hidden="1"/>
    </xf>
    <xf numFmtId="0" fontId="49" fillId="5" borderId="15" xfId="6" applyFont="1" applyFill="1" applyBorder="1" applyAlignment="1" applyProtection="1">
      <alignment vertical="center"/>
      <protection hidden="1"/>
    </xf>
    <xf numFmtId="169" fontId="32" fillId="5" borderId="1" xfId="6" applyNumberFormat="1" applyFont="1" applyFill="1" applyBorder="1" applyAlignment="1" applyProtection="1">
      <alignment vertical="center"/>
      <protection hidden="1"/>
    </xf>
    <xf numFmtId="0" fontId="31" fillId="5" borderId="7" xfId="6" applyFont="1" applyFill="1" applyBorder="1" applyAlignment="1" applyProtection="1">
      <alignment vertical="center"/>
      <protection hidden="1"/>
    </xf>
    <xf numFmtId="0" fontId="6" fillId="5" borderId="15" xfId="6" applyFont="1" applyFill="1" applyBorder="1" applyAlignment="1" applyProtection="1">
      <alignment vertical="center"/>
      <protection hidden="1"/>
    </xf>
    <xf numFmtId="0" fontId="6" fillId="5" borderId="8" xfId="6" applyFont="1" applyFill="1" applyBorder="1" applyAlignment="1" applyProtection="1">
      <alignment vertical="center"/>
      <protection hidden="1"/>
    </xf>
    <xf numFmtId="0" fontId="27" fillId="5" borderId="1" xfId="6" applyFont="1" applyFill="1" applyBorder="1" applyAlignment="1" applyProtection="1">
      <alignment horizontal="center" vertical="center"/>
      <protection hidden="1"/>
    </xf>
    <xf numFmtId="0" fontId="31" fillId="5" borderId="10" xfId="6" applyFont="1" applyFill="1" applyBorder="1" applyAlignment="1" applyProtection="1">
      <alignment vertical="center"/>
      <protection hidden="1"/>
    </xf>
    <xf numFmtId="0" fontId="27" fillId="5" borderId="13" xfId="6" applyFont="1" applyFill="1" applyBorder="1" applyAlignment="1" applyProtection="1">
      <alignment vertical="center"/>
      <protection hidden="1"/>
    </xf>
    <xf numFmtId="0" fontId="9" fillId="5" borderId="7" xfId="6" applyFill="1" applyBorder="1" applyAlignment="1" applyProtection="1">
      <alignment vertical="center"/>
      <protection hidden="1"/>
    </xf>
    <xf numFmtId="0" fontId="31" fillId="5" borderId="15" xfId="6" applyFont="1" applyFill="1" applyBorder="1" applyAlignment="1" applyProtection="1">
      <alignment vertical="center"/>
      <protection hidden="1"/>
    </xf>
    <xf numFmtId="0" fontId="9" fillId="5" borderId="15" xfId="6" applyFill="1" applyBorder="1" applyProtection="1">
      <protection hidden="1"/>
    </xf>
    <xf numFmtId="0" fontId="8" fillId="5" borderId="7" xfId="6" applyFont="1" applyFill="1" applyBorder="1" applyAlignment="1" applyProtection="1">
      <alignment vertical="center"/>
      <protection hidden="1"/>
    </xf>
    <xf numFmtId="169" fontId="9" fillId="5" borderId="15" xfId="6" applyNumberFormat="1" applyFill="1" applyBorder="1" applyProtection="1">
      <protection hidden="1"/>
    </xf>
    <xf numFmtId="0" fontId="9" fillId="5" borderId="8" xfId="6" applyFill="1" applyBorder="1" applyProtection="1">
      <protection hidden="1"/>
    </xf>
    <xf numFmtId="10" fontId="32" fillId="5" borderId="8" xfId="5" applyNumberFormat="1" applyFont="1" applyFill="1" applyBorder="1" applyProtection="1">
      <protection hidden="1"/>
    </xf>
    <xf numFmtId="0" fontId="32" fillId="5" borderId="7" xfId="6" applyFont="1" applyFill="1" applyBorder="1" applyProtection="1">
      <protection hidden="1"/>
    </xf>
    <xf numFmtId="0" fontId="6" fillId="5" borderId="7" xfId="6" applyFont="1" applyFill="1" applyBorder="1" applyProtection="1">
      <protection hidden="1"/>
    </xf>
    <xf numFmtId="0" fontId="23" fillId="5" borderId="1" xfId="0" applyFont="1" applyFill="1" applyBorder="1" applyAlignment="1" applyProtection="1">
      <alignment vertical="center"/>
      <protection hidden="1"/>
    </xf>
    <xf numFmtId="0" fontId="23" fillId="5" borderId="7" xfId="0" applyFont="1" applyFill="1" applyBorder="1" applyAlignment="1" applyProtection="1">
      <alignment vertical="center"/>
      <protection hidden="1"/>
    </xf>
    <xf numFmtId="0" fontId="0" fillId="5" borderId="15" xfId="0" applyFill="1" applyBorder="1" applyAlignment="1" applyProtection="1">
      <alignment vertical="center"/>
      <protection hidden="1"/>
    </xf>
    <xf numFmtId="0" fontId="33" fillId="5" borderId="15" xfId="0" applyFont="1" applyFill="1" applyBorder="1" applyAlignment="1" applyProtection="1">
      <alignment vertical="center"/>
      <protection hidden="1"/>
    </xf>
    <xf numFmtId="0" fontId="0" fillId="5" borderId="8" xfId="0" applyFill="1" applyBorder="1" applyAlignment="1" applyProtection="1">
      <alignment vertical="center"/>
      <protection hidden="1"/>
    </xf>
    <xf numFmtId="0" fontId="33" fillId="5" borderId="8" xfId="0" applyFont="1" applyFill="1" applyBorder="1" applyAlignment="1" applyProtection="1">
      <alignment vertical="center"/>
      <protection hidden="1"/>
    </xf>
    <xf numFmtId="0" fontId="33" fillId="5" borderId="15" xfId="0" applyFont="1" applyFill="1" applyBorder="1" applyAlignment="1" applyProtection="1">
      <alignment wrapText="1"/>
      <protection hidden="1"/>
    </xf>
    <xf numFmtId="0" fontId="23" fillId="5" borderId="7" xfId="0" applyFont="1" applyFill="1" applyBorder="1" applyAlignment="1" applyProtection="1">
      <alignment horizontal="centerContinuous" vertical="center"/>
      <protection hidden="1"/>
    </xf>
    <xf numFmtId="0" fontId="0" fillId="5" borderId="15" xfId="0" applyFill="1" applyBorder="1" applyAlignment="1" applyProtection="1">
      <alignment horizontal="centerContinuous" vertical="center"/>
      <protection hidden="1"/>
    </xf>
    <xf numFmtId="0" fontId="33" fillId="5" borderId="15" xfId="0" applyFont="1" applyFill="1" applyBorder="1" applyAlignment="1" applyProtection="1">
      <alignment horizontal="centerContinuous" vertical="center"/>
      <protection hidden="1"/>
    </xf>
    <xf numFmtId="0" fontId="33" fillId="5" borderId="8" xfId="0" applyFont="1" applyFill="1" applyBorder="1" applyAlignment="1" applyProtection="1">
      <alignment horizontal="centerContinuous" vertical="center"/>
      <protection hidden="1"/>
    </xf>
    <xf numFmtId="0" fontId="0" fillId="5" borderId="8" xfId="0" applyFill="1" applyBorder="1" applyAlignment="1" applyProtection="1">
      <alignment horizontal="centerContinuous" vertical="center"/>
      <protection hidden="1"/>
    </xf>
    <xf numFmtId="0" fontId="34" fillId="5" borderId="0" xfId="0" applyFont="1" applyFill="1" applyAlignment="1" applyProtection="1">
      <alignment vertical="center"/>
      <protection hidden="1"/>
    </xf>
    <xf numFmtId="0" fontId="61" fillId="5" borderId="0" xfId="0" applyFont="1" applyFill="1" applyBorder="1" applyAlignment="1" applyProtection="1">
      <alignment horizontal="left" vertical="center"/>
      <protection hidden="1"/>
    </xf>
    <xf numFmtId="0" fontId="61" fillId="5" borderId="0" xfId="0" applyFont="1" applyFill="1" applyBorder="1" applyAlignment="1" applyProtection="1">
      <alignment horizontal="centerContinuous" vertical="center"/>
      <protection hidden="1"/>
    </xf>
    <xf numFmtId="0" fontId="61" fillId="5" borderId="0" xfId="0" applyFont="1" applyFill="1" applyBorder="1" applyAlignment="1" applyProtection="1">
      <alignment vertical="center"/>
      <protection hidden="1"/>
    </xf>
    <xf numFmtId="0" fontId="52" fillId="5" borderId="0" xfId="0" applyFont="1" applyFill="1" applyBorder="1" applyAlignment="1" applyProtection="1">
      <alignment horizontal="left" vertical="center" indent="29"/>
      <protection hidden="1"/>
    </xf>
    <xf numFmtId="2" fontId="9" fillId="5" borderId="0" xfId="6" applyNumberFormat="1" applyFill="1" applyProtection="1">
      <protection hidden="1"/>
    </xf>
    <xf numFmtId="0" fontId="9" fillId="5" borderId="10" xfId="6" applyFill="1" applyBorder="1" applyAlignment="1" applyProtection="1">
      <alignment vertical="center"/>
      <protection hidden="1"/>
    </xf>
    <xf numFmtId="0" fontId="9" fillId="5" borderId="13" xfId="6" applyFill="1" applyBorder="1" applyAlignment="1" applyProtection="1">
      <alignment vertical="center"/>
      <protection hidden="1"/>
    </xf>
    <xf numFmtId="0" fontId="7" fillId="5" borderId="0" xfId="6" applyFont="1" applyFill="1" applyBorder="1" applyAlignment="1" applyProtection="1">
      <alignment vertical="center"/>
      <protection hidden="1"/>
    </xf>
    <xf numFmtId="169" fontId="9" fillId="5" borderId="0" xfId="6" applyNumberFormat="1" applyFill="1" applyBorder="1" applyAlignment="1" applyProtection="1">
      <alignment vertical="center"/>
      <protection hidden="1"/>
    </xf>
    <xf numFmtId="0" fontId="9" fillId="5" borderId="4" xfId="6" applyFill="1" applyBorder="1" applyAlignment="1" applyProtection="1">
      <alignment vertical="center"/>
      <protection hidden="1"/>
    </xf>
    <xf numFmtId="0" fontId="0" fillId="5" borderId="5" xfId="0" applyFill="1" applyBorder="1" applyAlignment="1" applyProtection="1">
      <alignment vertical="center"/>
      <protection hidden="1"/>
    </xf>
    <xf numFmtId="8" fontId="9" fillId="5" borderId="0" xfId="6" applyNumberFormat="1" applyFill="1" applyBorder="1" applyAlignment="1" applyProtection="1">
      <alignment vertical="center"/>
      <protection hidden="1"/>
    </xf>
    <xf numFmtId="10" fontId="27" fillId="6" borderId="7" xfId="6" applyNumberFormat="1" applyFont="1" applyFill="1" applyBorder="1" applyAlignment="1" applyProtection="1">
      <alignment horizontal="center" vertical="center"/>
      <protection hidden="1"/>
    </xf>
    <xf numFmtId="169" fontId="9" fillId="6" borderId="1" xfId="6" applyNumberFormat="1" applyFill="1" applyBorder="1" applyProtection="1">
      <protection hidden="1"/>
    </xf>
    <xf numFmtId="0" fontId="36" fillId="5" borderId="0" xfId="0" applyFont="1" applyFill="1" applyBorder="1" applyAlignment="1" applyProtection="1">
      <alignment horizontal="center" vertical="center"/>
      <protection hidden="1"/>
    </xf>
    <xf numFmtId="169" fontId="36" fillId="5" borderId="0" xfId="0" applyNumberFormat="1" applyFont="1" applyFill="1" applyBorder="1" applyAlignment="1" applyProtection="1">
      <alignment vertical="center"/>
      <protection hidden="1"/>
    </xf>
    <xf numFmtId="169" fontId="36" fillId="5" borderId="0" xfId="1" applyNumberFormat="1" applyFont="1" applyFill="1" applyBorder="1" applyAlignment="1" applyProtection="1">
      <alignment vertical="center"/>
      <protection hidden="1"/>
    </xf>
    <xf numFmtId="0" fontId="63" fillId="14" borderId="0" xfId="0" applyFont="1" applyFill="1" applyAlignment="1" applyProtection="1">
      <alignment horizontal="centerContinuous" vertical="center"/>
      <protection hidden="1"/>
    </xf>
    <xf numFmtId="0" fontId="34" fillId="14" borderId="0" xfId="0" applyFont="1" applyFill="1" applyAlignment="1" applyProtection="1">
      <alignment horizontal="centerContinuous" vertical="center"/>
      <protection hidden="1"/>
    </xf>
    <xf numFmtId="0" fontId="33" fillId="5" borderId="1" xfId="0" applyFont="1" applyFill="1" applyBorder="1" applyAlignment="1" applyProtection="1">
      <alignment vertical="center"/>
      <protection hidden="1"/>
    </xf>
    <xf numFmtId="0" fontId="52" fillId="5" borderId="1" xfId="0" applyFont="1" applyFill="1" applyBorder="1" applyAlignment="1" applyProtection="1">
      <alignment vertical="center"/>
      <protection hidden="1"/>
    </xf>
    <xf numFmtId="169" fontId="52" fillId="5" borderId="1" xfId="1" applyNumberFormat="1" applyFont="1" applyFill="1" applyBorder="1" applyAlignment="1" applyProtection="1">
      <alignment vertical="center"/>
      <protection hidden="1"/>
    </xf>
    <xf numFmtId="0" fontId="52" fillId="5" borderId="0" xfId="0" applyFont="1" applyFill="1" applyBorder="1" applyAlignment="1" applyProtection="1">
      <alignment vertical="top" wrapText="1"/>
      <protection hidden="1"/>
    </xf>
    <xf numFmtId="0" fontId="52" fillId="5" borderId="1" xfId="0" applyFont="1" applyFill="1" applyBorder="1" applyAlignment="1" applyProtection="1">
      <alignment vertical="top" wrapText="1"/>
      <protection hidden="1"/>
    </xf>
    <xf numFmtId="2" fontId="0" fillId="5" borderId="0" xfId="0" applyNumberFormat="1" applyFill="1" applyBorder="1" applyAlignment="1" applyProtection="1">
      <alignment vertical="center"/>
      <protection hidden="1"/>
    </xf>
    <xf numFmtId="169" fontId="65" fillId="13" borderId="1" xfId="0" applyNumberFormat="1" applyFont="1" applyFill="1" applyBorder="1" applyAlignment="1" applyProtection="1">
      <alignment vertical="center"/>
      <protection hidden="1"/>
    </xf>
    <xf numFmtId="0" fontId="5" fillId="5" borderId="0" xfId="6" applyFont="1" applyFill="1" applyBorder="1" applyAlignment="1" applyProtection="1">
      <alignment vertical="center"/>
      <protection hidden="1"/>
    </xf>
    <xf numFmtId="0" fontId="29" fillId="5" borderId="17" xfId="0" applyFont="1" applyFill="1" applyBorder="1" applyAlignment="1" applyProtection="1">
      <alignment horizontal="centerContinuous" vertical="center"/>
      <protection hidden="1"/>
    </xf>
    <xf numFmtId="0" fontId="66" fillId="5" borderId="17" xfId="0" applyFont="1" applyFill="1" applyBorder="1" applyAlignment="1" applyProtection="1">
      <alignment horizontal="centerContinuous" vertical="center"/>
      <protection hidden="1"/>
    </xf>
    <xf numFmtId="0" fontId="6" fillId="0" borderId="12" xfId="8" applyBorder="1"/>
    <xf numFmtId="0" fontId="27" fillId="0" borderId="1" xfId="8" applyFont="1" applyBorder="1" applyAlignment="1">
      <alignment horizontal="center" vertical="center"/>
    </xf>
    <xf numFmtId="0" fontId="27" fillId="0" borderId="0" xfId="8" applyFont="1" applyAlignment="1">
      <alignment horizontal="center" vertical="center"/>
    </xf>
    <xf numFmtId="0" fontId="27" fillId="0" borderId="1" xfId="8" applyFont="1" applyBorder="1" applyAlignment="1">
      <alignment horizontal="center" vertical="center" wrapText="1"/>
    </xf>
    <xf numFmtId="0" fontId="4" fillId="0" borderId="1" xfId="8" applyFont="1" applyBorder="1"/>
    <xf numFmtId="0" fontId="4" fillId="0" borderId="0" xfId="8" applyFont="1"/>
    <xf numFmtId="0" fontId="36" fillId="0" borderId="1" xfId="8" applyFont="1" applyBorder="1" applyAlignment="1">
      <alignment vertical="center"/>
    </xf>
    <xf numFmtId="0" fontId="4" fillId="5" borderId="1" xfId="8" applyFont="1" applyFill="1" applyBorder="1" applyAlignment="1">
      <alignment horizontal="left" vertical="center"/>
    </xf>
    <xf numFmtId="0" fontId="4" fillId="5" borderId="1" xfId="8" applyFont="1" applyFill="1" applyBorder="1" applyAlignment="1">
      <alignment horizontal="left" vertical="center" wrapText="1"/>
    </xf>
    <xf numFmtId="168" fontId="0" fillId="0" borderId="11" xfId="10" applyNumberFormat="1" applyFont="1" applyBorder="1" applyProtection="1"/>
    <xf numFmtId="0" fontId="4" fillId="0" borderId="11" xfId="8" applyFont="1" applyBorder="1" applyAlignment="1" applyProtection="1">
      <alignment vertical="center"/>
    </xf>
    <xf numFmtId="0" fontId="4" fillId="0" borderId="11" xfId="8" applyFont="1" applyBorder="1" applyAlignment="1" applyProtection="1">
      <alignment horizontal="center" vertical="center"/>
    </xf>
    <xf numFmtId="168" fontId="47" fillId="5" borderId="0" xfId="10" quotePrefix="1" applyNumberFormat="1" applyFont="1" applyFill="1" applyBorder="1" applyAlignment="1" applyProtection="1">
      <alignment horizontal="center" vertical="center"/>
    </xf>
    <xf numFmtId="168" fontId="48" fillId="5" borderId="0" xfId="10" applyNumberFormat="1" applyFont="1" applyFill="1" applyBorder="1" applyAlignment="1" applyProtection="1">
      <alignment horizontal="center" vertical="center"/>
    </xf>
    <xf numFmtId="0" fontId="4" fillId="0" borderId="1" xfId="8" applyFont="1" applyBorder="1" applyAlignment="1" applyProtection="1">
      <alignment horizontal="left" vertical="center" indent="4"/>
    </xf>
    <xf numFmtId="10" fontId="0" fillId="9" borderId="1" xfId="0" applyNumberFormat="1" applyFill="1" applyBorder="1" applyAlignment="1" applyProtection="1">
      <alignment vertical="center"/>
      <protection locked="0" hidden="1"/>
    </xf>
    <xf numFmtId="10" fontId="0" fillId="5" borderId="0" xfId="5" applyNumberFormat="1" applyFont="1" applyFill="1" applyAlignment="1" applyProtection="1">
      <alignment vertical="center"/>
      <protection hidden="1"/>
    </xf>
    <xf numFmtId="0" fontId="10" fillId="5" borderId="0" xfId="0" applyFont="1" applyFill="1" applyAlignment="1" applyProtection="1">
      <alignment vertical="center"/>
      <protection hidden="1"/>
    </xf>
    <xf numFmtId="0" fontId="10" fillId="5" borderId="0" xfId="0" applyFont="1" applyFill="1" applyProtection="1">
      <protection hidden="1"/>
    </xf>
    <xf numFmtId="169" fontId="6" fillId="5" borderId="0" xfId="8" applyNumberFormat="1" applyFill="1"/>
    <xf numFmtId="164" fontId="6" fillId="5" borderId="0" xfId="8" applyNumberFormat="1" applyFill="1"/>
    <xf numFmtId="0" fontId="45" fillId="11" borderId="0" xfId="9" applyFont="1" applyFill="1" applyBorder="1" applyAlignment="1">
      <alignment horizontal="right"/>
    </xf>
    <xf numFmtId="0" fontId="45" fillId="11" borderId="3" xfId="9" applyFont="1" applyFill="1" applyBorder="1" applyAlignment="1">
      <alignment horizontal="right"/>
    </xf>
    <xf numFmtId="0" fontId="0" fillId="0" borderId="15" xfId="0" applyBorder="1"/>
    <xf numFmtId="0" fontId="0" fillId="0" borderId="8" xfId="0" applyBorder="1"/>
    <xf numFmtId="165" fontId="73" fillId="5" borderId="0" xfId="0" applyNumberFormat="1" applyFont="1" applyFill="1" applyAlignment="1" applyProtection="1">
      <alignment vertical="center"/>
      <protection hidden="1"/>
    </xf>
    <xf numFmtId="165" fontId="0" fillId="0" borderId="0" xfId="0" applyNumberFormat="1"/>
    <xf numFmtId="0" fontId="0" fillId="5" borderId="0" xfId="0" applyFill="1" applyBorder="1" applyAlignment="1" applyProtection="1">
      <alignment horizontal="right" vertical="center"/>
      <protection hidden="1"/>
    </xf>
    <xf numFmtId="9" fontId="34" fillId="5" borderId="0" xfId="0" applyNumberFormat="1" applyFont="1" applyFill="1" applyBorder="1" applyAlignment="1" applyProtection="1">
      <alignment vertical="center"/>
      <protection hidden="1"/>
    </xf>
    <xf numFmtId="0" fontId="69" fillId="11" borderId="0" xfId="9" applyFont="1" applyFill="1" applyBorder="1" applyAlignment="1" applyProtection="1">
      <alignment horizontal="center"/>
    </xf>
    <xf numFmtId="168" fontId="0" fillId="5" borderId="0" xfId="10" applyNumberFormat="1" applyFont="1" applyFill="1" applyBorder="1" applyProtection="1"/>
    <xf numFmtId="0" fontId="6" fillId="0" borderId="0" xfId="8" applyProtection="1"/>
    <xf numFmtId="0" fontId="0" fillId="0" borderId="0" xfId="0" applyBorder="1"/>
    <xf numFmtId="0" fontId="0" fillId="0" borderId="21" xfId="0" applyBorder="1"/>
    <xf numFmtId="0" fontId="0" fillId="0" borderId="22" xfId="0" applyBorder="1"/>
    <xf numFmtId="0" fontId="56" fillId="0" borderId="23" xfId="0" applyFont="1" applyBorder="1"/>
    <xf numFmtId="0" fontId="49" fillId="0" borderId="25" xfId="0" applyFont="1" applyBorder="1"/>
    <xf numFmtId="0" fontId="0" fillId="0" borderId="26" xfId="0" applyBorder="1"/>
    <xf numFmtId="0" fontId="0" fillId="0" borderId="27" xfId="0" applyBorder="1"/>
    <xf numFmtId="164" fontId="29" fillId="0" borderId="28" xfId="0" applyNumberFormat="1" applyFont="1" applyBorder="1" applyProtection="1">
      <protection hidden="1"/>
    </xf>
    <xf numFmtId="2" fontId="29" fillId="0" borderId="28" xfId="0" applyNumberFormat="1" applyFont="1" applyBorder="1" applyProtection="1">
      <protection hidden="1"/>
    </xf>
    <xf numFmtId="9" fontId="29" fillId="0" borderId="28" xfId="0" applyNumberFormat="1" applyFont="1" applyBorder="1" applyProtection="1">
      <protection hidden="1"/>
    </xf>
    <xf numFmtId="0" fontId="56" fillId="0" borderId="25" xfId="0" applyFont="1" applyBorder="1"/>
    <xf numFmtId="10" fontId="52" fillId="5" borderId="0" xfId="0" applyNumberFormat="1" applyFont="1" applyFill="1" applyBorder="1" applyAlignment="1" applyProtection="1">
      <alignment vertical="center"/>
      <protection hidden="1"/>
    </xf>
    <xf numFmtId="165" fontId="0" fillId="5" borderId="0" xfId="0" applyNumberFormat="1" applyFill="1" applyProtection="1">
      <protection hidden="1"/>
    </xf>
    <xf numFmtId="165" fontId="0" fillId="5" borderId="0" xfId="0" applyNumberFormat="1" applyFill="1" applyAlignment="1" applyProtection="1">
      <alignment vertical="center"/>
      <protection hidden="1"/>
    </xf>
    <xf numFmtId="171" fontId="6" fillId="5" borderId="1" xfId="8" applyNumberFormat="1" applyFill="1" applyBorder="1" applyAlignment="1" applyProtection="1">
      <alignment vertical="center"/>
      <protection hidden="1"/>
    </xf>
    <xf numFmtId="0" fontId="3" fillId="0" borderId="0" xfId="11"/>
    <xf numFmtId="0" fontId="27" fillId="0" borderId="1" xfId="11" applyFont="1" applyBorder="1" applyAlignment="1" applyProtection="1">
      <alignment vertical="center"/>
      <protection hidden="1"/>
    </xf>
    <xf numFmtId="3" fontId="27" fillId="15" borderId="1" xfId="11" applyNumberFormat="1" applyFont="1" applyFill="1" applyBorder="1" applyAlignment="1" applyProtection="1">
      <alignment vertical="center"/>
      <protection locked="0"/>
    </xf>
    <xf numFmtId="0" fontId="3" fillId="0" borderId="0" xfId="11" applyAlignment="1">
      <alignment vertical="center"/>
    </xf>
    <xf numFmtId="9" fontId="27" fillId="15" borderId="1" xfId="11" applyNumberFormat="1" applyFont="1" applyFill="1" applyBorder="1" applyAlignment="1" applyProtection="1">
      <alignment vertical="center"/>
      <protection locked="0"/>
    </xf>
    <xf numFmtId="0" fontId="41" fillId="0" borderId="29" xfId="11" applyFont="1" applyBorder="1" applyAlignment="1" applyProtection="1">
      <alignment horizontal="left" vertical="center" wrapText="1" readingOrder="1"/>
      <protection hidden="1"/>
    </xf>
    <xf numFmtId="3" fontId="41" fillId="5" borderId="29" xfId="11" applyNumberFormat="1" applyFont="1" applyFill="1" applyBorder="1" applyAlignment="1" applyProtection="1">
      <alignment horizontal="center" vertical="center" wrapText="1" readingOrder="1"/>
      <protection hidden="1"/>
    </xf>
    <xf numFmtId="0" fontId="41" fillId="5" borderId="29" xfId="11" applyFont="1" applyFill="1" applyBorder="1" applyAlignment="1" applyProtection="1">
      <alignment horizontal="center" vertical="center" wrapText="1" readingOrder="1"/>
      <protection hidden="1"/>
    </xf>
    <xf numFmtId="0" fontId="27" fillId="0" borderId="1" xfId="11" applyFont="1" applyFill="1" applyBorder="1" applyAlignment="1" applyProtection="1">
      <alignment vertical="center"/>
      <protection hidden="1"/>
    </xf>
    <xf numFmtId="3" fontId="0" fillId="5" borderId="29" xfId="12" applyNumberFormat="1" applyFont="1" applyFill="1" applyBorder="1" applyAlignment="1" applyProtection="1">
      <alignment horizontal="center" vertical="center"/>
      <protection hidden="1"/>
    </xf>
    <xf numFmtId="0" fontId="41" fillId="0" borderId="29" xfId="11" applyFont="1" applyBorder="1" applyAlignment="1" applyProtection="1">
      <alignment horizontal="center" vertical="center" wrapText="1" readingOrder="1"/>
      <protection hidden="1"/>
    </xf>
    <xf numFmtId="0" fontId="54" fillId="19" borderId="29" xfId="11" applyFont="1" applyFill="1" applyBorder="1" applyAlignment="1" applyProtection="1">
      <alignment horizontal="left" vertical="center" wrapText="1" readingOrder="1"/>
      <protection hidden="1"/>
    </xf>
    <xf numFmtId="10" fontId="77" fillId="13" borderId="30" xfId="11" applyNumberFormat="1" applyFont="1" applyFill="1" applyBorder="1" applyAlignment="1" applyProtection="1">
      <alignment horizontal="center" vertical="center" wrapText="1" readingOrder="1"/>
      <protection hidden="1"/>
    </xf>
    <xf numFmtId="10" fontId="77" fillId="13" borderId="31" xfId="11" applyNumberFormat="1" applyFont="1" applyFill="1" applyBorder="1" applyAlignment="1" applyProtection="1">
      <alignment horizontal="center" vertical="center" wrapText="1" readingOrder="1"/>
      <protection hidden="1"/>
    </xf>
    <xf numFmtId="0" fontId="3" fillId="0" borderId="0" xfId="11" applyAlignment="1" applyProtection="1">
      <alignment vertical="center"/>
      <protection hidden="1"/>
    </xf>
    <xf numFmtId="0" fontId="27" fillId="0" borderId="0" xfId="11" applyFont="1" applyAlignment="1" applyProtection="1">
      <alignment vertical="center"/>
      <protection hidden="1"/>
    </xf>
    <xf numFmtId="0" fontId="3" fillId="0" borderId="0" xfId="11" applyProtection="1">
      <protection hidden="1"/>
    </xf>
    <xf numFmtId="0" fontId="37" fillId="0" borderId="0" xfId="11" applyFont="1" applyFill="1" applyBorder="1" applyAlignment="1" applyProtection="1">
      <alignment vertical="center"/>
      <protection hidden="1"/>
    </xf>
    <xf numFmtId="0" fontId="3" fillId="0" borderId="1" xfId="11" applyBorder="1" applyAlignment="1" applyProtection="1">
      <alignment horizontal="center" vertical="center"/>
      <protection hidden="1"/>
    </xf>
    <xf numFmtId="168" fontId="0" fillId="0" borderId="1" xfId="13" applyNumberFormat="1" applyFont="1" applyBorder="1" applyAlignment="1" applyProtection="1">
      <alignment vertical="center"/>
      <protection hidden="1"/>
    </xf>
    <xf numFmtId="0" fontId="3" fillId="0" borderId="1" xfId="11" applyBorder="1" applyAlignment="1" applyProtection="1">
      <alignment vertical="center"/>
      <protection hidden="1"/>
    </xf>
    <xf numFmtId="168" fontId="3" fillId="0" borderId="1" xfId="11" applyNumberFormat="1" applyBorder="1" applyAlignment="1" applyProtection="1">
      <alignment vertical="center"/>
      <protection hidden="1"/>
    </xf>
    <xf numFmtId="10" fontId="3" fillId="0" borderId="1" xfId="11" applyNumberFormat="1" applyBorder="1" applyAlignment="1" applyProtection="1">
      <alignment vertical="center"/>
      <protection hidden="1"/>
    </xf>
    <xf numFmtId="10" fontId="0" fillId="5" borderId="1" xfId="14" applyNumberFormat="1" applyFont="1" applyFill="1" applyBorder="1" applyAlignment="1" applyProtection="1">
      <alignment vertical="center"/>
      <protection hidden="1"/>
    </xf>
    <xf numFmtId="0" fontId="37" fillId="19" borderId="1" xfId="11" applyFont="1" applyFill="1" applyBorder="1" applyAlignment="1" applyProtection="1">
      <alignment horizontal="center" vertical="center"/>
      <protection hidden="1"/>
    </xf>
    <xf numFmtId="3" fontId="37" fillId="19" borderId="1" xfId="11" applyNumberFormat="1" applyFont="1" applyFill="1" applyBorder="1" applyAlignment="1" applyProtection="1">
      <alignment vertical="center"/>
      <protection hidden="1"/>
    </xf>
    <xf numFmtId="0" fontId="76" fillId="19" borderId="1" xfId="11" applyFont="1" applyFill="1" applyBorder="1" applyAlignment="1" applyProtection="1">
      <alignment vertical="center"/>
      <protection hidden="1"/>
    </xf>
    <xf numFmtId="168" fontId="37" fillId="19" borderId="1" xfId="11" applyNumberFormat="1" applyFont="1" applyFill="1" applyBorder="1" applyAlignment="1" applyProtection="1">
      <alignment vertical="center"/>
      <protection hidden="1"/>
    </xf>
    <xf numFmtId="10" fontId="61" fillId="13" borderId="1" xfId="14" applyNumberFormat="1" applyFont="1" applyFill="1" applyBorder="1" applyAlignment="1" applyProtection="1">
      <alignment vertical="center"/>
      <protection hidden="1"/>
    </xf>
    <xf numFmtId="0" fontId="76" fillId="0" borderId="0" xfId="11" applyFont="1" applyAlignment="1" applyProtection="1">
      <alignment vertical="center"/>
      <protection hidden="1"/>
    </xf>
    <xf numFmtId="0" fontId="37" fillId="0" borderId="7" xfId="11" applyFont="1" applyBorder="1" applyProtection="1">
      <protection hidden="1"/>
    </xf>
    <xf numFmtId="0" fontId="3" fillId="0" borderId="15" xfId="11" applyBorder="1" applyProtection="1">
      <protection hidden="1"/>
    </xf>
    <xf numFmtId="0" fontId="3" fillId="0" borderId="8" xfId="11" applyBorder="1" applyProtection="1">
      <protection hidden="1"/>
    </xf>
    <xf numFmtId="168" fontId="0" fillId="0" borderId="0" xfId="13" applyNumberFormat="1" applyFont="1" applyProtection="1">
      <protection hidden="1"/>
    </xf>
    <xf numFmtId="0" fontId="79" fillId="0" borderId="7" xfId="11" applyFont="1" applyBorder="1" applyAlignment="1">
      <alignment vertical="center"/>
    </xf>
    <xf numFmtId="0" fontId="81" fillId="0" borderId="0" xfId="11" applyFont="1" applyAlignment="1">
      <alignment vertical="center"/>
    </xf>
    <xf numFmtId="0" fontId="79" fillId="0" borderId="0" xfId="11" applyFont="1" applyAlignment="1">
      <alignment vertical="center"/>
    </xf>
    <xf numFmtId="0" fontId="79" fillId="0" borderId="0" xfId="11" applyFont="1" applyFill="1" applyBorder="1" applyAlignment="1">
      <alignment vertical="center"/>
    </xf>
    <xf numFmtId="9" fontId="82" fillId="0" borderId="0" xfId="14" applyFont="1" applyAlignment="1" applyProtection="1">
      <alignment vertical="center"/>
      <protection locked="0"/>
    </xf>
    <xf numFmtId="0" fontId="81" fillId="0" borderId="7" xfId="11" applyFont="1" applyBorder="1" applyAlignment="1">
      <alignment vertical="center"/>
    </xf>
    <xf numFmtId="168" fontId="62" fillId="17" borderId="35" xfId="13" applyNumberFormat="1" applyFont="1" applyFill="1" applyBorder="1" applyAlignment="1" applyProtection="1">
      <alignment vertical="center"/>
      <protection hidden="1"/>
    </xf>
    <xf numFmtId="9" fontId="62" fillId="17" borderId="35" xfId="11" applyNumberFormat="1" applyFont="1" applyFill="1" applyBorder="1" applyAlignment="1" applyProtection="1">
      <alignment vertical="center"/>
      <protection hidden="1"/>
    </xf>
    <xf numFmtId="168" fontId="62" fillId="21" borderId="35" xfId="13" applyNumberFormat="1" applyFont="1" applyFill="1" applyBorder="1" applyAlignment="1" applyProtection="1">
      <alignment vertical="center"/>
      <protection locked="0"/>
    </xf>
    <xf numFmtId="9" fontId="62" fillId="21" borderId="35" xfId="11" applyNumberFormat="1" applyFont="1" applyFill="1" applyBorder="1" applyAlignment="1" applyProtection="1">
      <alignment vertical="center"/>
      <protection locked="0"/>
    </xf>
    <xf numFmtId="0" fontId="3" fillId="0" borderId="3" xfId="11" applyBorder="1" applyProtection="1">
      <protection hidden="1"/>
    </xf>
    <xf numFmtId="169" fontId="0" fillId="0" borderId="0" xfId="13" applyNumberFormat="1" applyFont="1" applyProtection="1">
      <protection hidden="1"/>
    </xf>
    <xf numFmtId="0" fontId="3" fillId="0" borderId="3" xfId="11" applyBorder="1"/>
    <xf numFmtId="0" fontId="27" fillId="0" borderId="0" xfId="11" applyFont="1"/>
    <xf numFmtId="0" fontId="27" fillId="0" borderId="0" xfId="11" applyFont="1" applyAlignment="1">
      <alignment horizontal="right"/>
    </xf>
    <xf numFmtId="0" fontId="3" fillId="0" borderId="11" xfId="11" applyBorder="1"/>
    <xf numFmtId="0" fontId="3" fillId="0" borderId="11" xfId="11" applyBorder="1" applyProtection="1">
      <protection hidden="1"/>
    </xf>
    <xf numFmtId="169" fontId="76" fillId="0" borderId="0" xfId="13" applyNumberFormat="1" applyFont="1" applyBorder="1" applyAlignment="1" applyProtection="1">
      <alignment vertical="center"/>
      <protection hidden="1"/>
    </xf>
    <xf numFmtId="0" fontId="3" fillId="0" borderId="0" xfId="11" applyAlignment="1">
      <alignment horizontal="center" vertical="center"/>
    </xf>
    <xf numFmtId="0" fontId="61" fillId="20" borderId="10" xfId="11" applyFont="1" applyFill="1" applyBorder="1" applyAlignment="1">
      <alignment horizontal="center" vertical="center"/>
    </xf>
    <xf numFmtId="0" fontId="61" fillId="22" borderId="16" xfId="11" applyFont="1" applyFill="1" applyBorder="1" applyAlignment="1">
      <alignment horizontal="center" vertical="center"/>
    </xf>
    <xf numFmtId="0" fontId="61" fillId="20" borderId="4" xfId="11" applyFont="1" applyFill="1" applyBorder="1" applyAlignment="1">
      <alignment horizontal="center" vertical="center"/>
    </xf>
    <xf numFmtId="0" fontId="61" fillId="22" borderId="12" xfId="11" applyFont="1" applyFill="1" applyBorder="1" applyAlignment="1">
      <alignment horizontal="center" vertical="center"/>
    </xf>
    <xf numFmtId="0" fontId="35" fillId="5" borderId="0" xfId="11" applyFont="1" applyFill="1" applyBorder="1" applyAlignment="1">
      <alignment horizontal="right" vertical="center"/>
    </xf>
    <xf numFmtId="0" fontId="27" fillId="0" borderId="1" xfId="11" applyFont="1" applyBorder="1" applyAlignment="1">
      <alignment horizontal="center" vertical="center"/>
    </xf>
    <xf numFmtId="0" fontId="27" fillId="0" borderId="1" xfId="11" applyFont="1" applyBorder="1" applyAlignment="1">
      <alignment vertical="center"/>
    </xf>
    <xf numFmtId="0" fontId="37" fillId="0" borderId="1" xfId="11" applyFont="1" applyBorder="1" applyAlignment="1">
      <alignment vertical="center"/>
    </xf>
    <xf numFmtId="0" fontId="3" fillId="0" borderId="1" xfId="11" applyBorder="1" applyAlignment="1">
      <alignment vertical="center"/>
    </xf>
    <xf numFmtId="168" fontId="27" fillId="0" borderId="0" xfId="11" applyNumberFormat="1" applyFont="1" applyBorder="1" applyAlignment="1">
      <alignment vertical="center"/>
    </xf>
    <xf numFmtId="0" fontId="3" fillId="0" borderId="1" xfId="11" applyBorder="1" applyAlignment="1">
      <alignment horizontal="center" vertical="center"/>
    </xf>
    <xf numFmtId="168" fontId="0" fillId="0" borderId="12" xfId="13" applyNumberFormat="1" applyFont="1" applyBorder="1" applyAlignment="1" applyProtection="1">
      <alignment vertical="center"/>
      <protection hidden="1"/>
    </xf>
    <xf numFmtId="0" fontId="35" fillId="5" borderId="1" xfId="11" applyFont="1" applyFill="1" applyBorder="1" applyAlignment="1">
      <alignment horizontal="left" vertical="center"/>
    </xf>
    <xf numFmtId="168" fontId="27" fillId="0" borderId="1" xfId="13" applyNumberFormat="1" applyFont="1" applyBorder="1" applyAlignment="1" applyProtection="1">
      <alignment vertical="center"/>
      <protection hidden="1"/>
    </xf>
    <xf numFmtId="0" fontId="87" fillId="0" borderId="0" xfId="11" applyFont="1" applyBorder="1" applyAlignment="1">
      <alignment horizontal="center" vertical="center" wrapText="1"/>
    </xf>
    <xf numFmtId="0" fontId="3" fillId="0" borderId="7" xfId="11" applyBorder="1" applyAlignment="1">
      <alignment vertical="center"/>
    </xf>
    <xf numFmtId="0" fontId="3" fillId="0" borderId="8" xfId="11" applyBorder="1" applyAlignment="1">
      <alignment vertical="center"/>
    </xf>
    <xf numFmtId="37" fontId="3" fillId="0" borderId="1" xfId="11" applyNumberFormat="1" applyBorder="1" applyAlignment="1" applyProtection="1">
      <alignment vertical="center"/>
      <protection hidden="1"/>
    </xf>
    <xf numFmtId="0" fontId="3" fillId="0" borderId="7" xfId="11" applyFont="1" applyBorder="1" applyAlignment="1">
      <alignment vertical="center"/>
    </xf>
    <xf numFmtId="9" fontId="3" fillId="0" borderId="1" xfId="11" applyNumberFormat="1" applyBorder="1" applyAlignment="1" applyProtection="1">
      <alignment vertical="center"/>
      <protection hidden="1"/>
    </xf>
    <xf numFmtId="0" fontId="3" fillId="0" borderId="7" xfId="11" applyFont="1" applyBorder="1" applyAlignment="1" applyProtection="1">
      <alignment vertical="center"/>
      <protection hidden="1"/>
    </xf>
    <xf numFmtId="0" fontId="3" fillId="0" borderId="0" xfId="11" applyAlignment="1">
      <alignment horizontal="center"/>
    </xf>
    <xf numFmtId="0" fontId="37" fillId="19" borderId="10" xfId="11" applyFont="1" applyFill="1" applyBorder="1" applyAlignment="1">
      <alignment horizontal="center" vertical="center"/>
    </xf>
    <xf numFmtId="0" fontId="37" fillId="19" borderId="4" xfId="11" applyFont="1" applyFill="1" applyBorder="1" applyAlignment="1">
      <alignment horizontal="center" vertical="center"/>
    </xf>
    <xf numFmtId="0" fontId="27" fillId="0" borderId="0" xfId="15" applyFont="1" applyAlignment="1" applyProtection="1">
      <alignment horizontal="centerContinuous"/>
      <protection hidden="1"/>
    </xf>
    <xf numFmtId="0" fontId="2" fillId="0" borderId="0" xfId="15" applyProtection="1">
      <protection hidden="1"/>
    </xf>
    <xf numFmtId="0" fontId="2" fillId="0" borderId="0" xfId="15" applyAlignment="1" applyProtection="1">
      <alignment horizontal="center" vertical="center"/>
      <protection hidden="1"/>
    </xf>
    <xf numFmtId="0" fontId="27" fillId="0" borderId="0" xfId="15" applyFont="1" applyProtection="1">
      <protection hidden="1"/>
    </xf>
    <xf numFmtId="172" fontId="2" fillId="0" borderId="0" xfId="5" applyNumberFormat="1" applyFont="1" applyProtection="1">
      <protection hidden="1"/>
    </xf>
    <xf numFmtId="166" fontId="2" fillId="0" borderId="0" xfId="15" applyNumberFormat="1" applyProtection="1">
      <protection hidden="1"/>
    </xf>
    <xf numFmtId="0" fontId="25" fillId="0" borderId="0" xfId="15" applyFont="1" applyProtection="1">
      <protection hidden="1"/>
    </xf>
    <xf numFmtId="0" fontId="2" fillId="0" borderId="1" xfId="15" applyFont="1" applyBorder="1" applyProtection="1">
      <protection hidden="1"/>
    </xf>
    <xf numFmtId="9" fontId="2" fillId="0" borderId="1" xfId="5" applyNumberFormat="1" applyFont="1" applyBorder="1" applyAlignment="1" applyProtection="1">
      <alignment horizontal="center"/>
      <protection hidden="1"/>
    </xf>
    <xf numFmtId="173" fontId="2" fillId="0" borderId="1" xfId="15" applyNumberFormat="1" applyFont="1" applyBorder="1" applyAlignment="1" applyProtection="1">
      <alignment horizontal="right"/>
      <protection hidden="1"/>
    </xf>
    <xf numFmtId="9" fontId="2" fillId="0" borderId="1" xfId="5" applyNumberFormat="1" applyFont="1" applyBorder="1" applyProtection="1">
      <protection hidden="1"/>
    </xf>
    <xf numFmtId="173" fontId="2" fillId="0" borderId="1" xfId="15" applyNumberFormat="1" applyFont="1" applyBorder="1" applyAlignment="1" applyProtection="1">
      <protection hidden="1"/>
    </xf>
    <xf numFmtId="0" fontId="2" fillId="0" borderId="0" xfId="15" quotePrefix="1" applyAlignment="1" applyProtection="1">
      <alignment horizontal="center" vertical="center"/>
      <protection hidden="1"/>
    </xf>
    <xf numFmtId="0" fontId="37" fillId="0" borderId="0" xfId="15" applyFont="1" applyProtection="1">
      <protection hidden="1"/>
    </xf>
    <xf numFmtId="0" fontId="27" fillId="0" borderId="1" xfId="15" applyFont="1" applyBorder="1" applyAlignment="1" applyProtection="1">
      <alignment horizontal="center" vertical="center"/>
      <protection hidden="1"/>
    </xf>
    <xf numFmtId="0" fontId="27" fillId="0" borderId="1" xfId="15" applyFont="1" applyBorder="1" applyAlignment="1" applyProtection="1">
      <alignment horizontal="center" vertical="center" wrapText="1"/>
      <protection hidden="1"/>
    </xf>
    <xf numFmtId="0" fontId="27" fillId="0" borderId="12" xfId="15" applyFont="1" applyBorder="1" applyAlignment="1" applyProtection="1">
      <alignment horizontal="center" vertical="center"/>
      <protection hidden="1"/>
    </xf>
    <xf numFmtId="0" fontId="27" fillId="0" borderId="12" xfId="15" applyFont="1" applyBorder="1" applyAlignment="1" applyProtection="1">
      <alignment horizontal="center" vertical="center" wrapText="1"/>
      <protection hidden="1"/>
    </xf>
    <xf numFmtId="0" fontId="27" fillId="0" borderId="1" xfId="15" applyFont="1" applyFill="1" applyBorder="1" applyAlignment="1" applyProtection="1">
      <alignment horizontal="center" vertical="center"/>
      <protection hidden="1"/>
    </xf>
    <xf numFmtId="0" fontId="27" fillId="0" borderId="3" xfId="15" applyFont="1" applyFill="1" applyBorder="1" applyAlignment="1" applyProtection="1">
      <alignment horizontal="center" vertical="center"/>
      <protection hidden="1"/>
    </xf>
    <xf numFmtId="0" fontId="2" fillId="0" borderId="1" xfId="15" applyFont="1" applyBorder="1" applyAlignment="1" applyProtection="1">
      <alignment horizontal="center" vertical="center"/>
      <protection hidden="1"/>
    </xf>
    <xf numFmtId="168" fontId="25" fillId="0" borderId="1" xfId="15" applyNumberFormat="1" applyFont="1" applyBorder="1" applyProtection="1">
      <protection hidden="1"/>
    </xf>
    <xf numFmtId="43" fontId="2" fillId="0" borderId="1" xfId="15" applyNumberFormat="1" applyBorder="1" applyProtection="1">
      <protection hidden="1"/>
    </xf>
    <xf numFmtId="0" fontId="27" fillId="0" borderId="0" xfId="15" applyFont="1" applyFill="1" applyBorder="1" applyAlignment="1" applyProtection="1">
      <alignment horizontal="center" vertical="center"/>
      <protection hidden="1"/>
    </xf>
    <xf numFmtId="0" fontId="2" fillId="0" borderId="1" xfId="15" applyBorder="1" applyProtection="1">
      <protection hidden="1"/>
    </xf>
    <xf numFmtId="0" fontId="2" fillId="0" borderId="1" xfId="15" applyBorder="1" applyAlignment="1" applyProtection="1">
      <alignment horizontal="center"/>
      <protection hidden="1"/>
    </xf>
    <xf numFmtId="168" fontId="2" fillId="0" borderId="1" xfId="15" applyNumberFormat="1" applyBorder="1" applyProtection="1">
      <protection hidden="1"/>
    </xf>
    <xf numFmtId="43" fontId="0" fillId="0" borderId="1" xfId="18" applyFont="1" applyBorder="1" applyProtection="1">
      <protection hidden="1"/>
    </xf>
    <xf numFmtId="168" fontId="2" fillId="0" borderId="0" xfId="15" applyNumberFormat="1" applyProtection="1">
      <protection hidden="1"/>
    </xf>
    <xf numFmtId="166" fontId="2" fillId="0" borderId="1" xfId="15" applyNumberFormat="1" applyBorder="1" applyProtection="1">
      <protection hidden="1"/>
    </xf>
    <xf numFmtId="10" fontId="2" fillId="0" borderId="1" xfId="5" applyNumberFormat="1" applyFont="1" applyBorder="1" applyProtection="1">
      <protection hidden="1"/>
    </xf>
    <xf numFmtId="43" fontId="2" fillId="0" borderId="8" xfId="15" applyNumberFormat="1" applyBorder="1" applyProtection="1">
      <protection hidden="1"/>
    </xf>
    <xf numFmtId="43" fontId="2" fillId="0" borderId="13" xfId="15" applyNumberFormat="1" applyBorder="1" applyProtection="1">
      <protection hidden="1"/>
    </xf>
    <xf numFmtId="43" fontId="0" fillId="0" borderId="16" xfId="18" applyFont="1" applyBorder="1" applyProtection="1">
      <protection hidden="1"/>
    </xf>
    <xf numFmtId="168" fontId="2" fillId="0" borderId="16" xfId="15" applyNumberFormat="1" applyBorder="1" applyProtection="1">
      <protection hidden="1"/>
    </xf>
    <xf numFmtId="43" fontId="27" fillId="5" borderId="0" xfId="15" applyNumberFormat="1" applyFont="1" applyFill="1" applyProtection="1">
      <protection hidden="1"/>
    </xf>
    <xf numFmtId="10" fontId="0" fillId="5" borderId="0" xfId="16" applyNumberFormat="1" applyFont="1" applyFill="1" applyBorder="1" applyProtection="1">
      <protection hidden="1"/>
    </xf>
    <xf numFmtId="10" fontId="35" fillId="15" borderId="47" xfId="15" applyNumberFormat="1" applyFont="1" applyFill="1" applyBorder="1" applyAlignment="1" applyProtection="1">
      <alignment vertical="center"/>
      <protection locked="0"/>
    </xf>
    <xf numFmtId="170" fontId="3" fillId="0" borderId="1" xfId="1" applyNumberFormat="1" applyFont="1" applyBorder="1" applyAlignment="1" applyProtection="1">
      <alignment vertical="center"/>
      <protection hidden="1"/>
    </xf>
    <xf numFmtId="170" fontId="0" fillId="0" borderId="1" xfId="1" applyNumberFormat="1" applyFont="1" applyBorder="1" applyAlignment="1" applyProtection="1">
      <alignment vertical="center"/>
      <protection hidden="1"/>
    </xf>
    <xf numFmtId="170" fontId="3" fillId="5" borderId="1" xfId="1" applyNumberFormat="1" applyFont="1" applyFill="1" applyBorder="1" applyAlignment="1" applyProtection="1">
      <alignment vertical="center"/>
      <protection hidden="1"/>
    </xf>
    <xf numFmtId="170" fontId="37" fillId="0" borderId="15" xfId="1" applyNumberFormat="1" applyFont="1" applyBorder="1" applyProtection="1">
      <protection hidden="1"/>
    </xf>
    <xf numFmtId="0" fontId="2" fillId="0" borderId="0" xfId="15"/>
    <xf numFmtId="0" fontId="2" fillId="0" borderId="50" xfId="15" applyBorder="1" applyAlignment="1">
      <alignment horizontal="left" vertical="center"/>
    </xf>
    <xf numFmtId="0" fontId="2" fillId="0" borderId="0" xfId="15" applyAlignment="1"/>
    <xf numFmtId="0" fontId="2" fillId="0" borderId="50" xfId="15" applyBorder="1" applyAlignment="1">
      <alignment vertical="center" wrapText="1"/>
    </xf>
    <xf numFmtId="0" fontId="2" fillId="0" borderId="9" xfId="15" applyBorder="1" applyAlignment="1">
      <alignment vertical="center" wrapText="1"/>
    </xf>
    <xf numFmtId="0" fontId="2" fillId="0" borderId="0" xfId="15" applyFill="1" applyBorder="1" applyAlignment="1"/>
    <xf numFmtId="0" fontId="2" fillId="0" borderId="9" xfId="15" applyBorder="1" applyAlignment="1">
      <alignment vertical="center"/>
    </xf>
    <xf numFmtId="0" fontId="2" fillId="0" borderId="0" xfId="15" applyAlignment="1">
      <alignment horizontal="right"/>
    </xf>
    <xf numFmtId="0" fontId="2" fillId="0" borderId="9" xfId="15" applyBorder="1" applyAlignment="1">
      <alignment wrapText="1"/>
    </xf>
    <xf numFmtId="3" fontId="2" fillId="0" borderId="9" xfId="15" applyNumberFormat="1" applyBorder="1" applyAlignment="1" applyProtection="1">
      <alignment vertical="center"/>
      <protection hidden="1"/>
    </xf>
    <xf numFmtId="4" fontId="2" fillId="0" borderId="1" xfId="15" applyNumberFormat="1" applyBorder="1"/>
    <xf numFmtId="4" fontId="0" fillId="0" borderId="1" xfId="16" applyNumberFormat="1" applyFont="1" applyBorder="1"/>
    <xf numFmtId="3" fontId="2" fillId="5" borderId="9" xfId="15" applyNumberFormat="1" applyFill="1" applyBorder="1" applyAlignment="1" applyProtection="1">
      <alignment vertical="center"/>
      <protection hidden="1"/>
    </xf>
    <xf numFmtId="3" fontId="2" fillId="0" borderId="0" xfId="15" applyNumberFormat="1"/>
    <xf numFmtId="170" fontId="2" fillId="0" borderId="0" xfId="15" applyNumberFormat="1"/>
    <xf numFmtId="170" fontId="2" fillId="0" borderId="0" xfId="15" applyNumberFormat="1" applyAlignment="1"/>
    <xf numFmtId="10" fontId="2" fillId="0" borderId="9" xfId="15" applyNumberFormat="1" applyBorder="1" applyAlignment="1" applyProtection="1">
      <alignment vertical="center"/>
      <protection hidden="1"/>
    </xf>
    <xf numFmtId="165" fontId="2" fillId="0" borderId="0" xfId="15" applyNumberFormat="1" applyAlignment="1"/>
    <xf numFmtId="0" fontId="2" fillId="0" borderId="55" xfId="15" applyFill="1" applyBorder="1" applyAlignment="1">
      <alignment vertical="center"/>
    </xf>
    <xf numFmtId="10" fontId="27" fillId="0" borderId="9" xfId="15" applyNumberFormat="1" applyFont="1" applyBorder="1" applyAlignment="1" applyProtection="1">
      <alignment vertical="center"/>
      <protection hidden="1"/>
    </xf>
    <xf numFmtId="164" fontId="2" fillId="0" borderId="0" xfId="15" applyNumberFormat="1" applyAlignment="1"/>
    <xf numFmtId="0" fontId="2" fillId="0" borderId="9" xfId="15" applyFill="1" applyBorder="1" applyAlignment="1">
      <alignment vertical="center"/>
    </xf>
    <xf numFmtId="10" fontId="27" fillId="0" borderId="9" xfId="16" applyNumberFormat="1" applyFont="1" applyBorder="1" applyAlignment="1" applyProtection="1">
      <alignment vertical="center"/>
      <protection hidden="1"/>
    </xf>
    <xf numFmtId="10" fontId="25" fillId="0" borderId="0" xfId="15" applyNumberFormat="1" applyFont="1" applyProtection="1">
      <protection hidden="1"/>
    </xf>
    <xf numFmtId="4" fontId="2" fillId="0" borderId="0" xfId="15" applyNumberFormat="1" applyAlignment="1"/>
    <xf numFmtId="165" fontId="2" fillId="0" borderId="0" xfId="15" applyNumberFormat="1"/>
    <xf numFmtId="3" fontId="37" fillId="19" borderId="9" xfId="15" applyNumberFormat="1" applyFont="1" applyFill="1" applyBorder="1" applyAlignment="1" applyProtection="1">
      <alignment vertical="center"/>
      <protection hidden="1"/>
    </xf>
    <xf numFmtId="0" fontId="2" fillId="0" borderId="0" xfId="15" applyAlignment="1">
      <alignment horizontal="center" vertical="center"/>
    </xf>
    <xf numFmtId="0" fontId="2" fillId="0" borderId="0" xfId="15" applyAlignment="1">
      <alignment vertical="center"/>
    </xf>
    <xf numFmtId="0" fontId="2" fillId="23" borderId="0" xfId="15" applyFill="1" applyAlignment="1">
      <alignment vertical="center"/>
    </xf>
    <xf numFmtId="168" fontId="0" fillId="23" borderId="59" xfId="18" applyNumberFormat="1" applyFont="1" applyFill="1" applyBorder="1" applyAlignment="1" applyProtection="1">
      <alignment vertical="center" wrapText="1"/>
      <protection hidden="1"/>
    </xf>
    <xf numFmtId="10" fontId="2" fillId="23" borderId="0" xfId="15" applyNumberFormat="1" applyFill="1" applyAlignment="1" applyProtection="1">
      <alignment vertical="center"/>
      <protection hidden="1"/>
    </xf>
    <xf numFmtId="0" fontId="2" fillId="7" borderId="0" xfId="15" applyFill="1" applyAlignment="1">
      <alignment vertical="center"/>
    </xf>
    <xf numFmtId="168" fontId="0" fillId="7" borderId="59" xfId="18" applyNumberFormat="1" applyFont="1" applyFill="1" applyBorder="1" applyAlignment="1" applyProtection="1">
      <alignment vertical="center" wrapText="1"/>
      <protection hidden="1"/>
    </xf>
    <xf numFmtId="10" fontId="2" fillId="7" borderId="0" xfId="15" applyNumberFormat="1" applyFill="1" applyAlignment="1" applyProtection="1">
      <alignment vertical="center"/>
      <protection hidden="1"/>
    </xf>
    <xf numFmtId="0" fontId="2" fillId="15" borderId="0" xfId="15" applyFill="1" applyAlignment="1">
      <alignment vertical="center"/>
    </xf>
    <xf numFmtId="10" fontId="2" fillId="15" borderId="0" xfId="15" applyNumberFormat="1" applyFill="1" applyAlignment="1" applyProtection="1">
      <alignment vertical="center"/>
      <protection hidden="1"/>
    </xf>
    <xf numFmtId="0" fontId="25" fillId="0" borderId="0" xfId="15" applyFont="1" applyAlignment="1">
      <alignment vertical="center"/>
    </xf>
    <xf numFmtId="0" fontId="2" fillId="0" borderId="0" xfId="15" applyFill="1" applyBorder="1" applyAlignment="1">
      <alignment horizontal="left" vertical="center"/>
    </xf>
    <xf numFmtId="168" fontId="91" fillId="5" borderId="0" xfId="18" applyNumberFormat="1" applyFont="1" applyFill="1" applyBorder="1" applyAlignment="1" applyProtection="1">
      <alignment vertical="center"/>
    </xf>
    <xf numFmtId="0" fontId="27" fillId="0" borderId="0" xfId="15" applyFont="1" applyBorder="1" applyAlignment="1">
      <alignment horizontal="center" vertical="center"/>
    </xf>
    <xf numFmtId="10" fontId="27" fillId="5" borderId="0" xfId="15" applyNumberFormat="1" applyFont="1" applyFill="1" applyBorder="1" applyAlignment="1">
      <alignment vertical="center"/>
    </xf>
    <xf numFmtId="0" fontId="2" fillId="0" borderId="0" xfId="15" applyBorder="1" applyAlignment="1"/>
    <xf numFmtId="0" fontId="2" fillId="0" borderId="0" xfId="15" applyAlignment="1">
      <alignment horizontal="center"/>
    </xf>
    <xf numFmtId="0" fontId="2" fillId="0" borderId="0" xfId="15" applyBorder="1" applyAlignment="1">
      <alignment vertical="center" wrapText="1"/>
    </xf>
    <xf numFmtId="0" fontId="25" fillId="0" borderId="0" xfId="15" applyFont="1" applyBorder="1" applyAlignment="1">
      <alignment vertical="center" wrapText="1"/>
    </xf>
    <xf numFmtId="0" fontId="68" fillId="17" borderId="9" xfId="15" applyFont="1" applyFill="1" applyBorder="1" applyAlignment="1" applyProtection="1">
      <alignment horizontal="center" vertical="center"/>
      <protection hidden="1"/>
    </xf>
    <xf numFmtId="168" fontId="68" fillId="17" borderId="9" xfId="18" applyNumberFormat="1" applyFont="1" applyFill="1" applyBorder="1" applyAlignment="1" applyProtection="1">
      <alignment horizontal="center" vertical="center"/>
      <protection hidden="1"/>
    </xf>
    <xf numFmtId="0" fontId="2" fillId="0" borderId="5" xfId="15" applyBorder="1" applyAlignment="1"/>
    <xf numFmtId="0" fontId="68" fillId="5" borderId="0" xfId="15" applyFont="1" applyFill="1" applyBorder="1" applyAlignment="1">
      <alignment vertical="center"/>
    </xf>
    <xf numFmtId="0" fontId="25" fillId="0" borderId="0" xfId="15" applyFont="1"/>
    <xf numFmtId="0" fontId="2" fillId="0" borderId="1" xfId="15" applyBorder="1" applyAlignment="1">
      <alignment horizontal="center"/>
    </xf>
    <xf numFmtId="168" fontId="0" fillId="0" borderId="1" xfId="18" applyNumberFormat="1" applyFont="1" applyBorder="1" applyProtection="1">
      <protection hidden="1"/>
    </xf>
    <xf numFmtId="168" fontId="25" fillId="0" borderId="0" xfId="15" applyNumberFormat="1" applyFont="1" applyProtection="1">
      <protection hidden="1"/>
    </xf>
    <xf numFmtId="0" fontId="27" fillId="0" borderId="0" xfId="15" applyFont="1"/>
    <xf numFmtId="0" fontId="2" fillId="0" borderId="0" xfId="15" quotePrefix="1"/>
    <xf numFmtId="168" fontId="0" fillId="21" borderId="64" xfId="18" applyNumberFormat="1" applyFont="1" applyFill="1" applyBorder="1" applyAlignment="1" applyProtection="1">
      <alignment vertical="center" wrapText="1"/>
      <protection hidden="1"/>
    </xf>
    <xf numFmtId="0" fontId="64" fillId="24" borderId="11" xfId="6" applyFont="1" applyFill="1" applyBorder="1" applyAlignment="1" applyProtection="1">
      <alignment horizontal="centerContinuous" vertical="center"/>
      <protection hidden="1"/>
    </xf>
    <xf numFmtId="0" fontId="61" fillId="24" borderId="11" xfId="6" applyFont="1" applyFill="1" applyBorder="1" applyAlignment="1" applyProtection="1">
      <alignment horizontal="centerContinuous"/>
      <protection hidden="1"/>
    </xf>
    <xf numFmtId="168" fontId="32" fillId="25" borderId="8" xfId="7" applyNumberFormat="1" applyFont="1" applyFill="1" applyBorder="1" applyAlignment="1" applyProtection="1">
      <alignment vertical="center"/>
      <protection locked="0"/>
    </xf>
    <xf numFmtId="9" fontId="32" fillId="25" borderId="8" xfId="6" applyNumberFormat="1" applyFont="1" applyFill="1" applyBorder="1" applyAlignment="1" applyProtection="1">
      <alignment vertical="center"/>
      <protection locked="0"/>
    </xf>
    <xf numFmtId="0" fontId="49" fillId="7" borderId="7" xfId="6" applyFont="1" applyFill="1" applyBorder="1" applyAlignment="1" applyProtection="1">
      <alignment vertical="center"/>
      <protection hidden="1"/>
    </xf>
    <xf numFmtId="0" fontId="27" fillId="7" borderId="15" xfId="6" applyFont="1" applyFill="1" applyBorder="1" applyAlignment="1" applyProtection="1">
      <alignment vertical="center"/>
      <protection hidden="1"/>
    </xf>
    <xf numFmtId="0" fontId="27" fillId="7" borderId="8" xfId="6" applyFont="1" applyFill="1" applyBorder="1" applyAlignment="1" applyProtection="1">
      <alignment vertical="center"/>
      <protection hidden="1"/>
    </xf>
    <xf numFmtId="169" fontId="49" fillId="7" borderId="1" xfId="6" applyNumberFormat="1" applyFont="1" applyFill="1" applyBorder="1" applyProtection="1">
      <protection hidden="1"/>
    </xf>
    <xf numFmtId="0" fontId="9" fillId="7" borderId="15" xfId="6" applyFill="1" applyBorder="1" applyProtection="1">
      <protection hidden="1"/>
    </xf>
    <xf numFmtId="0" fontId="9" fillId="7" borderId="8" xfId="6" applyFill="1" applyBorder="1" applyProtection="1">
      <protection hidden="1"/>
    </xf>
    <xf numFmtId="10" fontId="32" fillId="7" borderId="8" xfId="5" applyNumberFormat="1" applyFont="1" applyFill="1" applyBorder="1" applyProtection="1">
      <protection locked="0" hidden="1"/>
    </xf>
    <xf numFmtId="168" fontId="35" fillId="7" borderId="1" xfId="18" applyNumberFormat="1" applyFont="1" applyFill="1" applyBorder="1" applyAlignment="1" applyProtection="1">
      <alignment vertical="center"/>
      <protection locked="0"/>
    </xf>
    <xf numFmtId="9" fontId="91" fillId="7" borderId="1" xfId="15" applyNumberFormat="1" applyFont="1" applyFill="1" applyBorder="1" applyAlignment="1" applyProtection="1">
      <alignment vertical="center"/>
      <protection locked="0"/>
    </xf>
    <xf numFmtId="168" fontId="91" fillId="7" borderId="1" xfId="18" applyNumberFormat="1" applyFont="1" applyFill="1" applyBorder="1" applyAlignment="1" applyProtection="1">
      <alignment vertical="center"/>
      <protection locked="0"/>
    </xf>
    <xf numFmtId="9" fontId="2" fillId="7" borderId="59" xfId="15" applyNumberFormat="1" applyFont="1" applyFill="1" applyBorder="1" applyAlignment="1" applyProtection="1">
      <alignment vertical="center" wrapText="1"/>
      <protection locked="0"/>
    </xf>
    <xf numFmtId="9" fontId="2" fillId="7" borderId="64" xfId="15" applyNumberFormat="1" applyFont="1" applyFill="1" applyBorder="1" applyAlignment="1" applyProtection="1">
      <alignment vertical="center" wrapText="1"/>
      <protection locked="0"/>
    </xf>
    <xf numFmtId="9" fontId="2" fillId="7" borderId="60" xfId="15" applyNumberFormat="1" applyFont="1" applyFill="1" applyBorder="1" applyAlignment="1" applyProtection="1">
      <alignment vertical="center" wrapText="1"/>
      <protection locked="0"/>
    </xf>
    <xf numFmtId="9" fontId="2" fillId="7" borderId="65" xfId="15" applyNumberFormat="1" applyFont="1" applyFill="1" applyBorder="1" applyAlignment="1" applyProtection="1">
      <alignment vertical="center" wrapText="1"/>
      <protection locked="0"/>
    </xf>
    <xf numFmtId="0" fontId="61" fillId="26" borderId="16" xfId="15" applyFont="1" applyFill="1" applyBorder="1" applyAlignment="1">
      <alignment horizontal="center" vertical="center"/>
    </xf>
    <xf numFmtId="0" fontId="61" fillId="26" borderId="1" xfId="15" applyFont="1" applyFill="1" applyBorder="1" applyAlignment="1">
      <alignment horizontal="center" vertical="center"/>
    </xf>
    <xf numFmtId="0" fontId="37" fillId="25" borderId="9" xfId="15" applyFont="1" applyFill="1" applyBorder="1" applyAlignment="1" applyProtection="1">
      <alignment horizontal="center" vertical="center"/>
      <protection hidden="1"/>
    </xf>
    <xf numFmtId="10" fontId="27" fillId="25" borderId="9" xfId="15" applyNumberFormat="1" applyFont="1" applyFill="1" applyBorder="1" applyAlignment="1" applyProtection="1">
      <alignment vertical="center"/>
      <protection hidden="1"/>
    </xf>
    <xf numFmtId="168" fontId="37" fillId="25" borderId="9" xfId="18" applyNumberFormat="1" applyFont="1" applyFill="1" applyBorder="1" applyAlignment="1" applyProtection="1">
      <alignment horizontal="center" vertical="center"/>
      <protection hidden="1"/>
    </xf>
    <xf numFmtId="0" fontId="61" fillId="26" borderId="1" xfId="15" applyFont="1" applyFill="1" applyBorder="1" applyAlignment="1">
      <alignment horizontal="center" vertical="center" wrapText="1"/>
    </xf>
    <xf numFmtId="0" fontId="64" fillId="26" borderId="11" xfId="6" applyFont="1" applyFill="1" applyBorder="1" applyAlignment="1" applyProtection="1">
      <alignment horizontal="centerContinuous" vertical="center"/>
      <protection hidden="1"/>
    </xf>
    <xf numFmtId="168" fontId="32" fillId="7" borderId="1" xfId="7" applyNumberFormat="1" applyFont="1" applyFill="1" applyBorder="1" applyAlignment="1" applyProtection="1">
      <alignment vertical="center"/>
      <protection locked="0" hidden="1"/>
    </xf>
    <xf numFmtId="9" fontId="32" fillId="7" borderId="1" xfId="6" applyNumberFormat="1" applyFont="1" applyFill="1" applyBorder="1" applyAlignment="1" applyProtection="1">
      <alignment vertical="center"/>
      <protection locked="0" hidden="1"/>
    </xf>
    <xf numFmtId="9" fontId="9" fillId="7" borderId="1" xfId="5" applyFont="1" applyFill="1" applyBorder="1" applyAlignment="1" applyProtection="1">
      <alignment vertical="center"/>
      <protection locked="0" hidden="1"/>
    </xf>
    <xf numFmtId="169" fontId="49" fillId="7" borderId="1" xfId="6" applyNumberFormat="1" applyFont="1" applyFill="1" applyBorder="1" applyAlignment="1" applyProtection="1">
      <alignment vertical="center"/>
      <protection hidden="1"/>
    </xf>
    <xf numFmtId="0" fontId="9" fillId="7" borderId="15" xfId="6" applyFill="1" applyBorder="1" applyAlignment="1" applyProtection="1">
      <alignment vertical="center"/>
      <protection hidden="1"/>
    </xf>
    <xf numFmtId="0" fontId="9" fillId="7" borderId="8" xfId="6" applyFill="1" applyBorder="1" applyAlignment="1" applyProtection="1">
      <alignment vertical="center"/>
      <protection hidden="1"/>
    </xf>
    <xf numFmtId="169" fontId="37" fillId="7" borderId="1" xfId="6" applyNumberFormat="1" applyFont="1" applyFill="1" applyBorder="1" applyAlignment="1" applyProtection="1">
      <alignment vertical="center"/>
      <protection hidden="1"/>
    </xf>
    <xf numFmtId="0" fontId="49" fillId="7" borderId="4" xfId="6" applyFont="1" applyFill="1" applyBorder="1" applyAlignment="1" applyProtection="1">
      <alignment vertical="center"/>
      <protection hidden="1"/>
    </xf>
    <xf numFmtId="0" fontId="9" fillId="7" borderId="5" xfId="6" applyFill="1" applyBorder="1" applyAlignment="1" applyProtection="1">
      <alignment vertical="center"/>
      <protection hidden="1"/>
    </xf>
    <xf numFmtId="0" fontId="9" fillId="7" borderId="6" xfId="6" applyFill="1" applyBorder="1" applyAlignment="1" applyProtection="1">
      <alignment vertical="center"/>
      <protection hidden="1"/>
    </xf>
    <xf numFmtId="0" fontId="77" fillId="26" borderId="29" xfId="11" applyFont="1" applyFill="1" applyBorder="1" applyAlignment="1" applyProtection="1">
      <alignment horizontal="left" vertical="center" wrapText="1" readingOrder="1"/>
      <protection hidden="1"/>
    </xf>
    <xf numFmtId="0" fontId="77" fillId="26" borderId="29" xfId="11" applyFont="1" applyFill="1" applyBorder="1" applyAlignment="1" applyProtection="1">
      <alignment horizontal="center" vertical="center" wrapText="1" readingOrder="1"/>
      <protection hidden="1"/>
    </xf>
    <xf numFmtId="3" fontId="27" fillId="25" borderId="1" xfId="11" applyNumberFormat="1" applyFont="1" applyFill="1" applyBorder="1" applyAlignment="1" applyProtection="1">
      <alignment vertical="center"/>
      <protection locked="0"/>
    </xf>
    <xf numFmtId="9" fontId="27" fillId="25" borderId="1" xfId="11" applyNumberFormat="1" applyFont="1" applyFill="1" applyBorder="1" applyAlignment="1" applyProtection="1">
      <alignment vertical="center"/>
      <protection locked="0"/>
    </xf>
    <xf numFmtId="10" fontId="35" fillId="25" borderId="47" xfId="15" applyNumberFormat="1" applyFont="1" applyFill="1" applyBorder="1" applyAlignment="1" applyProtection="1">
      <alignment vertical="center"/>
      <protection locked="0"/>
    </xf>
    <xf numFmtId="0" fontId="41" fillId="25" borderId="1" xfId="11" applyFont="1" applyFill="1" applyBorder="1" applyAlignment="1" applyProtection="1">
      <alignment horizontal="right" vertical="center" wrapText="1" readingOrder="1"/>
      <protection locked="0"/>
    </xf>
    <xf numFmtId="0" fontId="41" fillId="25" borderId="29" xfId="11" applyFont="1" applyFill="1" applyBorder="1" applyAlignment="1" applyProtection="1">
      <alignment horizontal="left" vertical="center" wrapText="1" readingOrder="1"/>
      <protection hidden="1"/>
    </xf>
    <xf numFmtId="10" fontId="41" fillId="25" borderId="29" xfId="11" applyNumberFormat="1" applyFont="1" applyFill="1" applyBorder="1" applyAlignment="1" applyProtection="1">
      <alignment horizontal="center" vertical="center" wrapText="1" readingOrder="1"/>
      <protection hidden="1"/>
    </xf>
    <xf numFmtId="3" fontId="3" fillId="25" borderId="29" xfId="12" applyNumberFormat="1" applyFont="1" applyFill="1" applyBorder="1" applyAlignment="1" applyProtection="1">
      <alignment horizontal="center" vertical="center"/>
      <protection hidden="1"/>
    </xf>
    <xf numFmtId="9" fontId="41" fillId="25" borderId="29" xfId="11" applyNumberFormat="1" applyFont="1" applyFill="1" applyBorder="1" applyAlignment="1" applyProtection="1">
      <alignment horizontal="center" vertical="center" wrapText="1" readingOrder="1"/>
      <protection hidden="1"/>
    </xf>
    <xf numFmtId="0" fontId="41" fillId="25" borderId="29" xfId="11" applyFont="1" applyFill="1" applyBorder="1" applyAlignment="1" applyProtection="1">
      <alignment horizontal="center" vertical="center" wrapText="1" readingOrder="1"/>
      <protection hidden="1"/>
    </xf>
    <xf numFmtId="3" fontId="0" fillId="25" borderId="29" xfId="12" applyNumberFormat="1" applyFont="1" applyFill="1" applyBorder="1" applyAlignment="1" applyProtection="1">
      <alignment horizontal="center" vertical="center"/>
      <protection hidden="1"/>
    </xf>
    <xf numFmtId="3" fontId="41" fillId="25" borderId="29" xfId="11" applyNumberFormat="1" applyFont="1" applyFill="1" applyBorder="1" applyAlignment="1" applyProtection="1">
      <alignment horizontal="center" vertical="center" wrapText="1" readingOrder="1"/>
      <protection hidden="1"/>
    </xf>
    <xf numFmtId="169" fontId="32" fillId="7" borderId="1" xfId="7" applyNumberFormat="1" applyFont="1" applyFill="1" applyBorder="1" applyAlignment="1" applyProtection="1">
      <alignment vertical="center"/>
      <protection locked="0" hidden="1"/>
    </xf>
    <xf numFmtId="168" fontId="32" fillId="7" borderId="16" xfId="7" applyNumberFormat="1" applyFont="1" applyFill="1" applyBorder="1" applyAlignment="1" applyProtection="1">
      <alignment vertical="center"/>
      <protection locked="0" hidden="1"/>
    </xf>
    <xf numFmtId="10" fontId="32" fillId="7" borderId="1" xfId="5" applyNumberFormat="1" applyFont="1" applyFill="1" applyBorder="1" applyAlignment="1" applyProtection="1">
      <alignment vertical="center"/>
      <protection locked="0" hidden="1"/>
    </xf>
    <xf numFmtId="0" fontId="49" fillId="19" borderId="1" xfId="6" applyFont="1" applyFill="1" applyBorder="1" applyAlignment="1" applyProtection="1">
      <alignment horizontal="center" vertical="center"/>
      <protection hidden="1"/>
    </xf>
    <xf numFmtId="169" fontId="49" fillId="19" borderId="1" xfId="6" applyNumberFormat="1" applyFont="1" applyFill="1" applyBorder="1" applyAlignment="1" applyProtection="1">
      <alignment vertical="center"/>
      <protection hidden="1"/>
    </xf>
    <xf numFmtId="0" fontId="49" fillId="19" borderId="7" xfId="6" applyFont="1" applyFill="1" applyBorder="1" applyAlignment="1" applyProtection="1">
      <alignment vertical="center"/>
      <protection hidden="1"/>
    </xf>
    <xf numFmtId="0" fontId="9" fillId="19" borderId="15" xfId="6" applyFill="1" applyBorder="1" applyProtection="1">
      <protection hidden="1"/>
    </xf>
    <xf numFmtId="0" fontId="9" fillId="19" borderId="8" xfId="6" applyFill="1" applyBorder="1" applyProtection="1">
      <protection hidden="1"/>
    </xf>
    <xf numFmtId="169" fontId="9" fillId="28" borderId="1" xfId="6" applyNumberFormat="1" applyFill="1" applyBorder="1" applyProtection="1">
      <protection hidden="1"/>
    </xf>
    <xf numFmtId="0" fontId="33" fillId="25" borderId="1" xfId="0" applyFont="1" applyFill="1" applyBorder="1" applyAlignment="1" applyProtection="1">
      <alignment horizontal="center" vertical="center"/>
      <protection locked="0" hidden="1"/>
    </xf>
    <xf numFmtId="0" fontId="33" fillId="25" borderId="1" xfId="0" applyFont="1" applyFill="1" applyBorder="1" applyAlignment="1" applyProtection="1">
      <alignment horizontal="right" vertical="center"/>
      <protection locked="0" hidden="1"/>
    </xf>
    <xf numFmtId="169" fontId="33" fillId="25" borderId="1" xfId="0" applyNumberFormat="1" applyFont="1" applyFill="1" applyBorder="1" applyAlignment="1" applyProtection="1">
      <alignment vertical="center"/>
      <protection locked="0" hidden="1"/>
    </xf>
    <xf numFmtId="9" fontId="33" fillId="25" borderId="1" xfId="0" applyNumberFormat="1" applyFont="1" applyFill="1" applyBorder="1" applyAlignment="1" applyProtection="1">
      <alignment horizontal="right" vertical="center"/>
      <protection locked="0" hidden="1"/>
    </xf>
    <xf numFmtId="0" fontId="52" fillId="19" borderId="7" xfId="0" applyFont="1" applyFill="1" applyBorder="1" applyAlignment="1" applyProtection="1">
      <alignment vertical="center"/>
      <protection hidden="1"/>
    </xf>
    <xf numFmtId="0" fontId="0" fillId="19" borderId="15" xfId="0" applyFill="1" applyBorder="1" applyAlignment="1" applyProtection="1">
      <alignment vertical="center"/>
      <protection hidden="1"/>
    </xf>
    <xf numFmtId="0" fontId="0" fillId="19" borderId="8" xfId="0" applyFill="1" applyBorder="1" applyAlignment="1" applyProtection="1">
      <alignment vertical="center"/>
      <protection hidden="1"/>
    </xf>
    <xf numFmtId="0" fontId="67" fillId="26" borderId="48" xfId="15" applyFont="1" applyFill="1" applyBorder="1" applyAlignment="1">
      <alignment horizontal="centerContinuous" vertical="center"/>
    </xf>
    <xf numFmtId="0" fontId="67" fillId="26" borderId="49" xfId="15" applyFont="1" applyFill="1" applyBorder="1" applyAlignment="1">
      <alignment horizontal="centerContinuous" vertical="center"/>
    </xf>
    <xf numFmtId="9" fontId="2" fillId="25" borderId="50" xfId="15" applyNumberFormat="1" applyFill="1" applyBorder="1" applyAlignment="1" applyProtection="1">
      <alignment horizontal="center" vertical="center"/>
      <protection locked="0"/>
    </xf>
    <xf numFmtId="0" fontId="2" fillId="25" borderId="9" xfId="15" applyFill="1" applyBorder="1" applyAlignment="1" applyProtection="1">
      <alignment horizontal="center" vertical="center"/>
      <protection locked="0"/>
    </xf>
    <xf numFmtId="170" fontId="0" fillId="25" borderId="50" xfId="19" applyNumberFormat="1" applyFont="1" applyFill="1" applyBorder="1" applyAlignment="1" applyProtection="1">
      <alignment vertical="center"/>
      <protection locked="0"/>
    </xf>
    <xf numFmtId="170" fontId="0" fillId="25" borderId="9" xfId="19" applyNumberFormat="1" applyFont="1" applyFill="1" applyBorder="1" applyAlignment="1" applyProtection="1">
      <alignment vertical="center"/>
      <protection locked="0"/>
    </xf>
    <xf numFmtId="0" fontId="61" fillId="26" borderId="32" xfId="11" applyFont="1" applyFill="1" applyBorder="1" applyAlignment="1" applyProtection="1">
      <alignment horizontal="center" vertical="center"/>
      <protection hidden="1"/>
    </xf>
    <xf numFmtId="0" fontId="61" fillId="26" borderId="33" xfId="11" applyFont="1" applyFill="1" applyBorder="1" applyAlignment="1" applyProtection="1">
      <alignment horizontal="center" vertical="center"/>
      <protection hidden="1"/>
    </xf>
    <xf numFmtId="0" fontId="61" fillId="26" borderId="33" xfId="11" applyFont="1" applyFill="1" applyBorder="1" applyAlignment="1" applyProtection="1">
      <alignment horizontal="center" vertical="center" wrapText="1"/>
      <protection hidden="1"/>
    </xf>
    <xf numFmtId="0" fontId="61" fillId="26" borderId="34" xfId="11" applyFont="1" applyFill="1" applyBorder="1" applyAlignment="1" applyProtection="1">
      <alignment horizontal="center" vertical="center" wrapText="1"/>
      <protection hidden="1"/>
    </xf>
    <xf numFmtId="0" fontId="3" fillId="26" borderId="0" xfId="11" applyFill="1" applyAlignment="1" applyProtection="1">
      <alignment vertical="center"/>
      <protection hidden="1"/>
    </xf>
    <xf numFmtId="0" fontId="25" fillId="26" borderId="0" xfId="11" applyFont="1" applyFill="1" applyAlignment="1" applyProtection="1">
      <alignment vertical="center"/>
      <protection hidden="1"/>
    </xf>
    <xf numFmtId="3" fontId="35" fillId="27" borderId="1" xfId="11" applyNumberFormat="1" applyFont="1" applyFill="1" applyBorder="1" applyAlignment="1" applyProtection="1">
      <alignment vertical="center"/>
      <protection locked="0"/>
    </xf>
    <xf numFmtId="10" fontId="35" fillId="27" borderId="47" xfId="15" applyNumberFormat="1" applyFont="1" applyFill="1" applyBorder="1" applyAlignment="1" applyProtection="1">
      <alignment vertical="center"/>
      <protection locked="0"/>
    </xf>
    <xf numFmtId="9" fontId="35" fillId="27" borderId="1" xfId="11" applyNumberFormat="1" applyFont="1" applyFill="1" applyBorder="1" applyAlignment="1" applyProtection="1">
      <alignment vertical="center"/>
      <protection locked="0"/>
    </xf>
    <xf numFmtId="0" fontId="61" fillId="26" borderId="1" xfId="15" applyFont="1" applyFill="1" applyBorder="1" applyAlignment="1" applyProtection="1">
      <alignment horizontal="left"/>
      <protection hidden="1"/>
    </xf>
    <xf numFmtId="0" fontId="25" fillId="26" borderId="8" xfId="15" applyFont="1" applyFill="1" applyBorder="1" applyProtection="1">
      <protection hidden="1"/>
    </xf>
    <xf numFmtId="0" fontId="61" fillId="26" borderId="7" xfId="15" applyFont="1" applyFill="1" applyBorder="1" applyAlignment="1" applyProtection="1">
      <alignment horizontal="left"/>
      <protection hidden="1"/>
    </xf>
    <xf numFmtId="0" fontId="61" fillId="26" borderId="1" xfId="15" applyFont="1" applyFill="1" applyBorder="1" applyProtection="1">
      <protection hidden="1"/>
    </xf>
    <xf numFmtId="3" fontId="35" fillId="25" borderId="46" xfId="15" applyNumberFormat="1" applyFont="1" applyFill="1" applyBorder="1" applyProtection="1">
      <protection hidden="1"/>
    </xf>
    <xf numFmtId="9" fontId="35" fillId="25" borderId="45" xfId="16" applyFont="1" applyFill="1" applyBorder="1" applyProtection="1">
      <protection hidden="1"/>
    </xf>
    <xf numFmtId="9" fontId="35" fillId="25" borderId="46" xfId="16" applyFont="1" applyFill="1" applyBorder="1" applyProtection="1">
      <protection hidden="1"/>
    </xf>
    <xf numFmtId="10" fontId="35" fillId="25" borderId="47" xfId="15" applyNumberFormat="1" applyFont="1" applyFill="1" applyBorder="1" applyProtection="1">
      <protection hidden="1"/>
    </xf>
    <xf numFmtId="0" fontId="2" fillId="25" borderId="1" xfId="15" applyFont="1" applyFill="1" applyBorder="1" applyProtection="1">
      <protection hidden="1"/>
    </xf>
    <xf numFmtId="166" fontId="2" fillId="25" borderId="1" xfId="15" applyNumberFormat="1" applyFont="1" applyFill="1" applyBorder="1" applyProtection="1">
      <protection hidden="1"/>
    </xf>
    <xf numFmtId="0" fontId="27" fillId="25" borderId="1" xfId="15" applyFont="1" applyFill="1" applyBorder="1" applyProtection="1">
      <protection hidden="1"/>
    </xf>
    <xf numFmtId="168" fontId="27" fillId="25" borderId="1" xfId="15" applyNumberFormat="1" applyFont="1" applyFill="1" applyBorder="1" applyProtection="1">
      <protection hidden="1"/>
    </xf>
    <xf numFmtId="168" fontId="27" fillId="25" borderId="11" xfId="15" applyNumberFormat="1" applyFont="1" applyFill="1" applyBorder="1" applyProtection="1">
      <protection hidden="1"/>
    </xf>
    <xf numFmtId="10" fontId="11" fillId="25" borderId="1" xfId="5" applyNumberFormat="1" applyFont="1" applyFill="1" applyBorder="1" applyProtection="1">
      <protection hidden="1"/>
    </xf>
    <xf numFmtId="0" fontId="2" fillId="25" borderId="11" xfId="15" applyFill="1" applyBorder="1" applyProtection="1">
      <protection hidden="1"/>
    </xf>
    <xf numFmtId="43" fontId="0" fillId="25" borderId="11" xfId="18" applyFont="1" applyFill="1" applyBorder="1" applyProtection="1">
      <protection hidden="1"/>
    </xf>
    <xf numFmtId="43" fontId="11" fillId="25" borderId="1" xfId="18" applyFont="1" applyFill="1" applyBorder="1" applyProtection="1">
      <protection hidden="1"/>
    </xf>
    <xf numFmtId="0" fontId="2" fillId="25" borderId="0" xfId="15" applyFill="1" applyProtection="1">
      <protection hidden="1"/>
    </xf>
    <xf numFmtId="10" fontId="27" fillId="25" borderId="1" xfId="5" applyNumberFormat="1" applyFont="1" applyFill="1" applyBorder="1" applyProtection="1">
      <protection hidden="1"/>
    </xf>
    <xf numFmtId="43" fontId="27" fillId="25" borderId="1" xfId="15" applyNumberFormat="1" applyFont="1" applyFill="1" applyBorder="1" applyProtection="1">
      <protection hidden="1"/>
    </xf>
    <xf numFmtId="43" fontId="27" fillId="25" borderId="16" xfId="15" applyNumberFormat="1" applyFont="1" applyFill="1" applyBorder="1" applyProtection="1">
      <protection hidden="1"/>
    </xf>
    <xf numFmtId="10" fontId="27" fillId="25" borderId="1" xfId="16" applyNumberFormat="1" applyFont="1" applyFill="1" applyBorder="1" applyProtection="1">
      <protection hidden="1"/>
    </xf>
    <xf numFmtId="10" fontId="0" fillId="25" borderId="12" xfId="16" applyNumberFormat="1" applyFont="1" applyFill="1" applyBorder="1" applyProtection="1">
      <protection hidden="1"/>
    </xf>
    <xf numFmtId="0" fontId="34" fillId="26" borderId="1" xfId="0" applyFont="1" applyFill="1" applyBorder="1"/>
    <xf numFmtId="3" fontId="27" fillId="25" borderId="46" xfId="15" applyNumberFormat="1" applyFont="1" applyFill="1" applyBorder="1" applyProtection="1">
      <protection hidden="1"/>
    </xf>
    <xf numFmtId="9" fontId="27" fillId="25" borderId="45" xfId="16" applyFont="1" applyFill="1" applyBorder="1" applyProtection="1">
      <protection hidden="1"/>
    </xf>
    <xf numFmtId="9" fontId="27" fillId="25" borderId="46" xfId="16" applyFont="1" applyFill="1" applyBorder="1" applyProtection="1">
      <protection hidden="1"/>
    </xf>
    <xf numFmtId="10" fontId="27" fillId="25" borderId="47" xfId="15" applyNumberFormat="1" applyFont="1" applyFill="1" applyBorder="1" applyProtection="1">
      <protection hidden="1"/>
    </xf>
    <xf numFmtId="9" fontId="93" fillId="25" borderId="1" xfId="0" applyNumberFormat="1" applyFont="1" applyFill="1" applyBorder="1" applyProtection="1">
      <protection hidden="1"/>
    </xf>
    <xf numFmtId="0" fontId="1" fillId="25" borderId="1" xfId="8" applyFont="1" applyFill="1" applyBorder="1" applyAlignment="1" applyProtection="1">
      <alignment vertical="center"/>
      <protection locked="0" hidden="1"/>
    </xf>
    <xf numFmtId="0" fontId="4" fillId="25" borderId="1" xfId="8" applyFont="1" applyFill="1" applyBorder="1" applyAlignment="1" applyProtection="1">
      <alignment vertical="center"/>
      <protection locked="0"/>
    </xf>
    <xf numFmtId="0" fontId="1" fillId="25" borderId="1" xfId="8" applyFont="1" applyFill="1" applyBorder="1" applyAlignment="1" applyProtection="1">
      <alignment vertical="center"/>
      <protection locked="0"/>
    </xf>
    <xf numFmtId="168" fontId="0" fillId="25" borderId="1" xfId="10" applyNumberFormat="1" applyFont="1" applyFill="1" applyBorder="1" applyAlignment="1" applyProtection="1">
      <alignment vertical="center"/>
      <protection locked="0"/>
    </xf>
    <xf numFmtId="0" fontId="4" fillId="25" borderId="1" xfId="8" applyFont="1" applyFill="1" applyBorder="1" applyAlignment="1" applyProtection="1">
      <alignment horizontal="center" vertical="center"/>
      <protection locked="0"/>
    </xf>
    <xf numFmtId="9" fontId="0" fillId="25" borderId="1" xfId="0" applyNumberFormat="1" applyFill="1" applyBorder="1" applyAlignment="1" applyProtection="1">
      <alignment horizontal="center" vertical="center"/>
      <protection locked="0" hidden="1"/>
    </xf>
    <xf numFmtId="0" fontId="0" fillId="25" borderId="1" xfId="0" applyFill="1" applyBorder="1" applyAlignment="1" applyProtection="1">
      <alignment horizontal="center" vertical="center"/>
      <protection locked="0" hidden="1"/>
    </xf>
    <xf numFmtId="0" fontId="0" fillId="25" borderId="1" xfId="0" applyFill="1" applyBorder="1" applyAlignment="1" applyProtection="1">
      <alignment vertical="center"/>
      <protection locked="0" hidden="1"/>
    </xf>
    <xf numFmtId="9" fontId="0" fillId="25" borderId="1" xfId="0" applyNumberFormat="1" applyFill="1" applyBorder="1" applyAlignment="1" applyProtection="1">
      <alignment vertical="center"/>
      <protection locked="0" hidden="1"/>
    </xf>
    <xf numFmtId="169" fontId="0" fillId="25" borderId="1" xfId="0" applyNumberFormat="1" applyFill="1" applyBorder="1" applyAlignment="1" applyProtection="1">
      <alignment vertical="center"/>
      <protection locked="0" hidden="1"/>
    </xf>
    <xf numFmtId="0" fontId="72" fillId="26" borderId="1" xfId="0" applyFont="1" applyFill="1" applyBorder="1" applyAlignment="1" applyProtection="1">
      <alignment vertical="center"/>
      <protection hidden="1"/>
    </xf>
    <xf numFmtId="0" fontId="72" fillId="26" borderId="1" xfId="0" applyFont="1" applyFill="1" applyBorder="1" applyAlignment="1" applyProtection="1">
      <alignment horizontal="center" vertical="center"/>
      <protection hidden="1"/>
    </xf>
    <xf numFmtId="0" fontId="34" fillId="26" borderId="1" xfId="0" applyFont="1" applyFill="1" applyBorder="1" applyAlignment="1" applyProtection="1">
      <alignment vertical="center"/>
      <protection hidden="1"/>
    </xf>
    <xf numFmtId="3" fontId="0" fillId="25" borderId="24" xfId="0" applyNumberFormat="1" applyFill="1" applyBorder="1" applyProtection="1">
      <protection locked="0"/>
    </xf>
    <xf numFmtId="9" fontId="0" fillId="25" borderId="24" xfId="0" applyNumberFormat="1" applyFill="1" applyBorder="1" applyProtection="1">
      <protection locked="0"/>
    </xf>
    <xf numFmtId="0" fontId="0" fillId="25" borderId="24" xfId="0" applyFill="1" applyBorder="1" applyProtection="1">
      <protection locked="0"/>
    </xf>
    <xf numFmtId="0" fontId="0" fillId="26" borderId="0" xfId="0" applyFill="1"/>
    <xf numFmtId="168" fontId="80" fillId="25" borderId="35" xfId="13" applyNumberFormat="1" applyFont="1" applyFill="1" applyBorder="1" applyAlignment="1" applyProtection="1">
      <alignment vertical="center"/>
      <protection locked="0"/>
    </xf>
    <xf numFmtId="9" fontId="80" fillId="25" borderId="35" xfId="11" applyNumberFormat="1" applyFont="1" applyFill="1" applyBorder="1" applyAlignment="1" applyProtection="1">
      <alignment vertical="center"/>
      <protection locked="0"/>
    </xf>
    <xf numFmtId="0" fontId="80" fillId="25" borderId="0" xfId="11" applyFont="1" applyFill="1" applyAlignment="1" applyProtection="1">
      <alignment horizontal="center" vertical="center"/>
      <protection locked="0"/>
    </xf>
    <xf numFmtId="168" fontId="82" fillId="25" borderId="36" xfId="14" applyNumberFormat="1" applyFont="1" applyFill="1" applyBorder="1" applyAlignment="1" applyProtection="1">
      <alignment vertical="center"/>
      <protection locked="0"/>
    </xf>
    <xf numFmtId="0" fontId="3" fillId="5" borderId="0" xfId="11" applyFill="1"/>
    <xf numFmtId="169" fontId="10" fillId="24" borderId="0" xfId="13" applyNumberFormat="1" applyFont="1" applyFill="1" applyProtection="1">
      <protection hidden="1"/>
    </xf>
    <xf numFmtId="167" fontId="11" fillId="5" borderId="0" xfId="3" applyNumberFormat="1" applyFont="1" applyFill="1" applyAlignment="1">
      <alignment horizontal="left"/>
    </xf>
    <xf numFmtId="0" fontId="27" fillId="5" borderId="0" xfId="6" applyFont="1" applyFill="1" applyAlignment="1" applyProtection="1">
      <alignment horizontal="left" indent="6"/>
      <protection hidden="1"/>
    </xf>
    <xf numFmtId="0" fontId="50" fillId="5" borderId="10" xfId="6" applyFont="1" applyFill="1" applyBorder="1" applyAlignment="1" applyProtection="1">
      <alignment horizontal="center" vertical="center" wrapText="1"/>
      <protection hidden="1"/>
    </xf>
    <xf numFmtId="0" fontId="50" fillId="5" borderId="11" xfId="6" applyFont="1" applyFill="1" applyBorder="1" applyAlignment="1" applyProtection="1">
      <alignment horizontal="center" vertical="center" wrapText="1"/>
      <protection hidden="1"/>
    </xf>
    <xf numFmtId="0" fontId="50" fillId="5" borderId="13" xfId="6" applyFont="1" applyFill="1" applyBorder="1" applyAlignment="1" applyProtection="1">
      <alignment horizontal="center" vertical="center" wrapText="1"/>
      <protection hidden="1"/>
    </xf>
    <xf numFmtId="0" fontId="50" fillId="5" borderId="2" xfId="6" applyFont="1" applyFill="1" applyBorder="1" applyAlignment="1" applyProtection="1">
      <alignment horizontal="center" vertical="center" wrapText="1"/>
      <protection hidden="1"/>
    </xf>
    <xf numFmtId="0" fontId="50" fillId="5" borderId="0" xfId="6" applyFont="1" applyFill="1" applyBorder="1" applyAlignment="1" applyProtection="1">
      <alignment horizontal="center" vertical="center" wrapText="1"/>
      <protection hidden="1"/>
    </xf>
    <xf numFmtId="0" fontId="50" fillId="5" borderId="3" xfId="6" applyFont="1" applyFill="1" applyBorder="1" applyAlignment="1" applyProtection="1">
      <alignment horizontal="center" vertical="center" wrapText="1"/>
      <protection hidden="1"/>
    </xf>
    <xf numFmtId="0" fontId="50" fillId="5" borderId="4" xfId="6" applyFont="1" applyFill="1" applyBorder="1" applyAlignment="1" applyProtection="1">
      <alignment horizontal="center" vertical="center" wrapText="1"/>
      <protection hidden="1"/>
    </xf>
    <xf numFmtId="0" fontId="50" fillId="5" borderId="5" xfId="6" applyFont="1" applyFill="1" applyBorder="1" applyAlignment="1" applyProtection="1">
      <alignment horizontal="center" vertical="center" wrapText="1"/>
      <protection hidden="1"/>
    </xf>
    <xf numFmtId="0" fontId="50" fillId="5" borderId="6" xfId="6" applyFont="1" applyFill="1" applyBorder="1" applyAlignment="1" applyProtection="1">
      <alignment horizontal="center" vertical="center" wrapText="1"/>
      <protection hidden="1"/>
    </xf>
    <xf numFmtId="0" fontId="31" fillId="5" borderId="7" xfId="6" applyFont="1" applyFill="1" applyBorder="1" applyAlignment="1" applyProtection="1">
      <alignment horizontal="left" vertical="center" wrapText="1"/>
      <protection hidden="1"/>
    </xf>
    <xf numFmtId="0" fontId="31" fillId="5" borderId="15" xfId="6" applyFont="1" applyFill="1" applyBorder="1" applyAlignment="1" applyProtection="1">
      <alignment horizontal="left" vertical="center" wrapText="1"/>
      <protection hidden="1"/>
    </xf>
    <xf numFmtId="0" fontId="31" fillId="5" borderId="8" xfId="6" applyFont="1" applyFill="1" applyBorder="1" applyAlignment="1" applyProtection="1">
      <alignment horizontal="left" vertical="center" wrapText="1"/>
      <protection hidden="1"/>
    </xf>
    <xf numFmtId="0" fontId="27" fillId="5" borderId="0" xfId="6" applyFont="1" applyFill="1" applyBorder="1" applyAlignment="1" applyProtection="1">
      <alignment horizontal="center" vertical="center"/>
      <protection hidden="1"/>
    </xf>
    <xf numFmtId="0" fontId="51" fillId="5" borderId="10" xfId="6" applyFont="1" applyFill="1" applyBorder="1" applyAlignment="1" applyProtection="1">
      <alignment horizontal="center" vertical="center" wrapText="1"/>
      <protection hidden="1"/>
    </xf>
    <xf numFmtId="0" fontId="51" fillId="5" borderId="11" xfId="6" applyFont="1" applyFill="1" applyBorder="1" applyAlignment="1" applyProtection="1">
      <alignment horizontal="center" vertical="center" wrapText="1"/>
      <protection hidden="1"/>
    </xf>
    <xf numFmtId="0" fontId="51" fillId="5" borderId="13" xfId="6" applyFont="1" applyFill="1" applyBorder="1" applyAlignment="1" applyProtection="1">
      <alignment horizontal="center" vertical="center" wrapText="1"/>
      <protection hidden="1"/>
    </xf>
    <xf numFmtId="0" fontId="51" fillId="5" borderId="2" xfId="6" applyFont="1" applyFill="1" applyBorder="1" applyAlignment="1" applyProtection="1">
      <alignment horizontal="center" vertical="center" wrapText="1"/>
      <protection hidden="1"/>
    </xf>
    <xf numFmtId="0" fontId="51" fillId="5" borderId="0" xfId="6" applyFont="1" applyFill="1" applyBorder="1" applyAlignment="1" applyProtection="1">
      <alignment horizontal="center" vertical="center" wrapText="1"/>
      <protection hidden="1"/>
    </xf>
    <xf numFmtId="0" fontId="51" fillId="5" borderId="3" xfId="6" applyFont="1" applyFill="1" applyBorder="1" applyAlignment="1" applyProtection="1">
      <alignment horizontal="center" vertical="center" wrapText="1"/>
      <protection hidden="1"/>
    </xf>
    <xf numFmtId="0" fontId="51" fillId="5" borderId="4" xfId="6" applyFont="1" applyFill="1" applyBorder="1" applyAlignment="1" applyProtection="1">
      <alignment horizontal="center" vertical="center" wrapText="1"/>
      <protection hidden="1"/>
    </xf>
    <xf numFmtId="0" fontId="51" fillId="5" borderId="5" xfId="6" applyFont="1" applyFill="1" applyBorder="1" applyAlignment="1" applyProtection="1">
      <alignment horizontal="center" vertical="center" wrapText="1"/>
      <protection hidden="1"/>
    </xf>
    <xf numFmtId="0" fontId="51" fillId="5" borderId="6" xfId="6" applyFont="1" applyFill="1" applyBorder="1" applyAlignment="1" applyProtection="1">
      <alignment horizontal="center" vertical="center" wrapText="1"/>
      <protection hidden="1"/>
    </xf>
    <xf numFmtId="0" fontId="50" fillId="5" borderId="1" xfId="6" applyFont="1" applyFill="1" applyBorder="1" applyAlignment="1" applyProtection="1">
      <alignment horizontal="center" vertical="center" wrapText="1"/>
      <protection hidden="1"/>
    </xf>
    <xf numFmtId="0" fontId="27" fillId="5" borderId="0" xfId="6" applyFont="1" applyFill="1" applyAlignment="1" applyProtection="1">
      <alignment horizontal="center"/>
      <protection hidden="1"/>
    </xf>
    <xf numFmtId="0" fontId="23" fillId="5" borderId="0" xfId="0" applyFont="1" applyFill="1" applyAlignment="1" applyProtection="1">
      <alignment horizontal="center" vertical="center" wrapText="1"/>
      <protection hidden="1"/>
    </xf>
    <xf numFmtId="0" fontId="64" fillId="26" borderId="10" xfId="6" applyFont="1" applyFill="1" applyBorder="1" applyAlignment="1" applyProtection="1">
      <alignment horizontal="center" vertical="center"/>
      <protection hidden="1"/>
    </xf>
    <xf numFmtId="0" fontId="64" fillId="26" borderId="11" xfId="6" applyFont="1" applyFill="1" applyBorder="1" applyAlignment="1" applyProtection="1">
      <alignment horizontal="center" vertical="center"/>
      <protection hidden="1"/>
    </xf>
    <xf numFmtId="0" fontId="63" fillId="26" borderId="11" xfId="0" applyFont="1" applyFill="1" applyBorder="1" applyAlignment="1" applyProtection="1">
      <alignment horizontal="center" vertical="center"/>
      <protection hidden="1"/>
    </xf>
    <xf numFmtId="0" fontId="63" fillId="26" borderId="0" xfId="0" applyFont="1" applyFill="1" applyBorder="1" applyAlignment="1" applyProtection="1">
      <alignment horizontal="center" vertical="center"/>
      <protection hidden="1"/>
    </xf>
    <xf numFmtId="170" fontId="17" fillId="5" borderId="0" xfId="1" applyNumberFormat="1" applyFont="1" applyFill="1" applyBorder="1" applyAlignment="1" applyProtection="1">
      <alignment horizontal="center"/>
      <protection hidden="1"/>
    </xf>
    <xf numFmtId="0" fontId="11" fillId="5" borderId="0" xfId="0" applyFont="1" applyFill="1" applyBorder="1" applyAlignment="1" applyProtection="1">
      <alignment horizontal="right" vertical="center"/>
      <protection hidden="1"/>
    </xf>
    <xf numFmtId="169" fontId="52" fillId="5" borderId="0" xfId="0" applyNumberFormat="1" applyFont="1" applyFill="1" applyBorder="1" applyAlignment="1" applyProtection="1">
      <alignment horizontal="center" vertical="center"/>
      <protection hidden="1"/>
    </xf>
    <xf numFmtId="0" fontId="23" fillId="5" borderId="1" xfId="0" applyFont="1" applyFill="1" applyBorder="1" applyAlignment="1" applyProtection="1">
      <alignment horizontal="center" vertical="center"/>
      <protection hidden="1"/>
    </xf>
    <xf numFmtId="169" fontId="33" fillId="25" borderId="1" xfId="0" applyNumberFormat="1" applyFont="1" applyFill="1" applyBorder="1" applyAlignment="1" applyProtection="1">
      <alignment horizontal="center" vertical="center"/>
      <protection locked="0" hidden="1"/>
    </xf>
    <xf numFmtId="9" fontId="33" fillId="25" borderId="1" xfId="0" applyNumberFormat="1" applyFont="1" applyFill="1" applyBorder="1" applyAlignment="1" applyProtection="1">
      <alignment horizontal="center" vertical="center"/>
      <protection locked="0" hidden="1"/>
    </xf>
    <xf numFmtId="169" fontId="52" fillId="19" borderId="7" xfId="0" applyNumberFormat="1" applyFont="1" applyFill="1" applyBorder="1" applyAlignment="1" applyProtection="1">
      <alignment horizontal="center" vertical="center"/>
      <protection hidden="1"/>
    </xf>
    <xf numFmtId="169" fontId="52" fillId="19" borderId="8" xfId="0" applyNumberFormat="1" applyFont="1" applyFill="1" applyBorder="1" applyAlignment="1" applyProtection="1">
      <alignment horizontal="center" vertical="center"/>
      <protection hidden="1"/>
    </xf>
    <xf numFmtId="9" fontId="0" fillId="25" borderId="1" xfId="0" applyNumberFormat="1" applyFill="1" applyBorder="1" applyAlignment="1" applyProtection="1">
      <alignment horizontal="center" vertical="center"/>
      <protection locked="0" hidden="1"/>
    </xf>
    <xf numFmtId="0" fontId="2" fillId="0" borderId="7" xfId="15" applyFill="1" applyBorder="1" applyAlignment="1">
      <alignment horizontal="left" vertical="center"/>
    </xf>
    <xf numFmtId="0" fontId="2" fillId="0" borderId="15" xfId="15" applyFill="1" applyBorder="1" applyAlignment="1">
      <alignment horizontal="left" vertical="center"/>
    </xf>
    <xf numFmtId="0" fontId="2" fillId="0" borderId="8" xfId="15" applyFill="1" applyBorder="1" applyAlignment="1">
      <alignment horizontal="left" vertical="center"/>
    </xf>
    <xf numFmtId="0" fontId="27" fillId="0" borderId="0" xfId="15" applyFont="1" applyBorder="1" applyAlignment="1">
      <alignment horizontal="center" vertical="center"/>
    </xf>
    <xf numFmtId="0" fontId="2" fillId="0" borderId="7" xfId="15" applyBorder="1" applyAlignment="1">
      <alignment horizontal="left" vertical="center"/>
    </xf>
    <xf numFmtId="0" fontId="2" fillId="0" borderId="15" xfId="15" applyBorder="1" applyAlignment="1">
      <alignment horizontal="left" vertical="center"/>
    </xf>
    <xf numFmtId="0" fontId="2" fillId="0" borderId="8" xfId="15" applyBorder="1" applyAlignment="1">
      <alignment horizontal="left" vertical="center"/>
    </xf>
    <xf numFmtId="0" fontId="2" fillId="7" borderId="56" xfId="15" applyFill="1" applyBorder="1" applyAlignment="1">
      <alignment horizontal="left" vertical="center" indent="2"/>
    </xf>
    <xf numFmtId="0" fontId="2" fillId="7" borderId="57" xfId="15" applyFill="1" applyBorder="1" applyAlignment="1" applyProtection="1">
      <alignment horizontal="left"/>
      <protection locked="0"/>
    </xf>
    <xf numFmtId="0" fontId="2" fillId="7" borderId="56" xfId="15" applyFill="1" applyBorder="1" applyAlignment="1" applyProtection="1">
      <alignment horizontal="left"/>
      <protection locked="0"/>
    </xf>
    <xf numFmtId="0" fontId="2" fillId="7" borderId="58" xfId="15" applyFill="1" applyBorder="1" applyAlignment="1" applyProtection="1">
      <alignment horizontal="left"/>
      <protection locked="0"/>
    </xf>
    <xf numFmtId="0" fontId="2" fillId="21" borderId="61" xfId="15" applyFill="1" applyBorder="1" applyAlignment="1">
      <alignment horizontal="left" vertical="center" indent="2"/>
    </xf>
    <xf numFmtId="0" fontId="2" fillId="7" borderId="62" xfId="15" applyFill="1" applyBorder="1" applyAlignment="1" applyProtection="1">
      <alignment horizontal="left"/>
      <protection locked="0"/>
    </xf>
    <xf numFmtId="0" fontId="2" fillId="7" borderId="61" xfId="15" applyFill="1" applyBorder="1" applyAlignment="1" applyProtection="1">
      <alignment horizontal="left"/>
      <protection locked="0"/>
    </xf>
    <xf numFmtId="0" fontId="2" fillId="7" borderId="63" xfId="15" applyFill="1" applyBorder="1" applyAlignment="1" applyProtection="1">
      <alignment horizontal="left"/>
      <protection locked="0"/>
    </xf>
    <xf numFmtId="0" fontId="61" fillId="26" borderId="5" xfId="15" applyFont="1" applyFill="1" applyBorder="1" applyAlignment="1">
      <alignment horizontal="left" vertical="center"/>
    </xf>
    <xf numFmtId="0" fontId="61" fillId="26" borderId="10" xfId="15" applyFont="1" applyFill="1" applyBorder="1" applyAlignment="1">
      <alignment horizontal="center" vertical="center"/>
    </xf>
    <xf numFmtId="0" fontId="61" fillId="26" borderId="11" xfId="15" applyFont="1" applyFill="1" applyBorder="1" applyAlignment="1">
      <alignment horizontal="center" vertical="center"/>
    </xf>
    <xf numFmtId="0" fontId="61" fillId="26" borderId="13" xfId="15" applyFont="1" applyFill="1" applyBorder="1" applyAlignment="1">
      <alignment horizontal="center" vertical="center"/>
    </xf>
    <xf numFmtId="0" fontId="61" fillId="26" borderId="16" xfId="15" applyFont="1" applyFill="1" applyBorder="1" applyAlignment="1">
      <alignment horizontal="center" vertical="center"/>
    </xf>
    <xf numFmtId="0" fontId="2" fillId="0" borderId="1" xfId="15" applyBorder="1" applyAlignment="1">
      <alignment horizontal="left" vertical="center"/>
    </xf>
    <xf numFmtId="0" fontId="2" fillId="23" borderId="56" xfId="15" applyFill="1" applyBorder="1" applyAlignment="1">
      <alignment horizontal="left" vertical="center" indent="2"/>
    </xf>
    <xf numFmtId="0" fontId="27" fillId="5" borderId="0" xfId="0" applyFont="1" applyFill="1" applyBorder="1" applyAlignment="1" applyProtection="1">
      <alignment horizontal="left" vertical="center"/>
      <protection hidden="1"/>
    </xf>
    <xf numFmtId="0" fontId="61" fillId="16" borderId="0" xfId="0" applyFont="1" applyFill="1" applyBorder="1" applyAlignment="1" applyProtection="1">
      <alignment horizontal="center" vertical="center"/>
      <protection hidden="1"/>
    </xf>
    <xf numFmtId="0" fontId="68" fillId="10" borderId="0" xfId="0" applyFont="1" applyFill="1" applyBorder="1" applyAlignment="1" applyProtection="1">
      <alignment horizontal="center" vertical="center"/>
      <protection hidden="1"/>
    </xf>
    <xf numFmtId="0" fontId="27" fillId="5" borderId="3" xfId="0" applyFont="1" applyFill="1" applyBorder="1" applyAlignment="1" applyProtection="1">
      <alignment horizontal="left" vertical="center"/>
      <protection hidden="1"/>
    </xf>
    <xf numFmtId="0" fontId="63" fillId="14" borderId="0" xfId="0" applyFont="1" applyFill="1" applyBorder="1" applyAlignment="1" applyProtection="1">
      <alignment horizontal="center" vertical="center"/>
      <protection hidden="1"/>
    </xf>
    <xf numFmtId="0" fontId="63" fillId="14" borderId="0" xfId="8" applyFont="1" applyFill="1" applyBorder="1" applyAlignment="1">
      <alignment horizontal="center" vertical="center"/>
    </xf>
    <xf numFmtId="0" fontId="71" fillId="11" borderId="2" xfId="9" applyFont="1" applyFill="1" applyBorder="1" applyAlignment="1">
      <alignment horizontal="left" indent="10"/>
    </xf>
    <xf numFmtId="0" fontId="71" fillId="11" borderId="0" xfId="9" applyFont="1" applyFill="1" applyBorder="1" applyAlignment="1">
      <alignment horizontal="left" indent="10"/>
    </xf>
    <xf numFmtId="0" fontId="71" fillId="11" borderId="3" xfId="9" applyFont="1" applyFill="1" applyBorder="1" applyAlignment="1">
      <alignment horizontal="left" indent="10"/>
    </xf>
    <xf numFmtId="0" fontId="55" fillId="11" borderId="7" xfId="9" applyFont="1" applyFill="1" applyBorder="1" applyAlignment="1">
      <alignment horizontal="center"/>
    </xf>
    <xf numFmtId="0" fontId="55" fillId="11" borderId="8" xfId="9" applyFont="1" applyFill="1" applyBorder="1" applyAlignment="1">
      <alignment horizontal="center"/>
    </xf>
    <xf numFmtId="0" fontId="55" fillId="11" borderId="11" xfId="9" applyFont="1" applyFill="1" applyBorder="1" applyAlignment="1">
      <alignment horizontal="center" vertical="center" wrapText="1"/>
    </xf>
    <xf numFmtId="0" fontId="55" fillId="11" borderId="0" xfId="9" applyFont="1" applyFill="1" applyBorder="1" applyAlignment="1">
      <alignment horizontal="center" vertical="center" wrapText="1"/>
    </xf>
    <xf numFmtId="0" fontId="55" fillId="11" borderId="5" xfId="9" applyFont="1" applyFill="1" applyBorder="1" applyAlignment="1">
      <alignment horizontal="center" vertical="center" wrapText="1"/>
    </xf>
    <xf numFmtId="0" fontId="59" fillId="11" borderId="11" xfId="9" applyFont="1" applyFill="1" applyBorder="1" applyAlignment="1">
      <alignment horizontal="left" vertical="top" wrapText="1"/>
    </xf>
    <xf numFmtId="0" fontId="59" fillId="11" borderId="0" xfId="9" applyFont="1" applyFill="1" applyBorder="1" applyAlignment="1">
      <alignment horizontal="left" vertical="top" wrapText="1"/>
    </xf>
    <xf numFmtId="0" fontId="67" fillId="26" borderId="0" xfId="8" applyFont="1" applyFill="1" applyAlignment="1">
      <alignment horizontal="center" vertical="center"/>
    </xf>
    <xf numFmtId="0" fontId="6" fillId="5" borderId="1" xfId="8" applyFill="1" applyBorder="1" applyAlignment="1" applyProtection="1">
      <alignment vertical="center"/>
      <protection hidden="1"/>
    </xf>
    <xf numFmtId="0" fontId="27" fillId="0" borderId="0" xfId="8" applyFont="1" applyBorder="1" applyAlignment="1" applyProtection="1">
      <alignment horizontal="center" vertical="center"/>
    </xf>
    <xf numFmtId="0" fontId="10" fillId="0" borderId="1" xfId="0" applyFont="1" applyBorder="1" applyAlignment="1" applyProtection="1">
      <alignment horizontal="center" vertical="center"/>
      <protection hidden="1"/>
    </xf>
    <xf numFmtId="0" fontId="30" fillId="0" borderId="5" xfId="0" quotePrefix="1" applyFont="1" applyBorder="1" applyAlignment="1" applyProtection="1">
      <alignment horizontal="center" vertical="center"/>
      <protection hidden="1"/>
    </xf>
    <xf numFmtId="0" fontId="30" fillId="0" borderId="5" xfId="0" applyFont="1" applyBorder="1" applyAlignment="1" applyProtection="1">
      <alignment horizontal="center" vertical="center"/>
      <protection hidden="1"/>
    </xf>
    <xf numFmtId="0" fontId="11" fillId="0" borderId="14" xfId="0" applyFont="1" applyBorder="1" applyAlignment="1" applyProtection="1">
      <alignment horizontal="center" vertical="center"/>
      <protection hidden="1"/>
    </xf>
    <xf numFmtId="169" fontId="0" fillId="0" borderId="7" xfId="0" applyNumberFormat="1" applyBorder="1" applyAlignment="1" applyProtection="1">
      <alignment horizontal="center" vertical="center"/>
      <protection hidden="1"/>
    </xf>
    <xf numFmtId="169" fontId="0" fillId="0" borderId="8" xfId="0" applyNumberFormat="1" applyBorder="1" applyAlignment="1" applyProtection="1">
      <alignment horizontal="center" vertical="center"/>
      <protection hidden="1"/>
    </xf>
    <xf numFmtId="0" fontId="72" fillId="26" borderId="1" xfId="0" applyFont="1" applyFill="1" applyBorder="1" applyAlignment="1" applyProtection="1">
      <alignment horizontal="center" vertical="center"/>
      <protection hidden="1"/>
    </xf>
    <xf numFmtId="0" fontId="72" fillId="26" borderId="1" xfId="0" applyFont="1" applyFill="1" applyBorder="1" applyAlignment="1" applyProtection="1">
      <alignment horizontal="center" vertical="center" wrapText="1"/>
      <protection hidden="1"/>
    </xf>
    <xf numFmtId="169" fontId="10" fillId="0" borderId="1" xfId="0" applyNumberFormat="1" applyFont="1" applyBorder="1" applyAlignment="1" applyProtection="1">
      <alignment horizontal="center" vertical="center"/>
      <protection hidden="1"/>
    </xf>
    <xf numFmtId="0" fontId="72" fillId="26" borderId="18" xfId="0" applyFont="1" applyFill="1" applyBorder="1" applyAlignment="1">
      <alignment horizontal="center" vertical="center"/>
    </xf>
    <xf numFmtId="0" fontId="72" fillId="26" borderId="19" xfId="0" applyFont="1" applyFill="1" applyBorder="1" applyAlignment="1">
      <alignment horizontal="center" vertical="center"/>
    </xf>
    <xf numFmtId="0" fontId="72" fillId="26" borderId="20" xfId="0" applyFont="1" applyFill="1" applyBorder="1" applyAlignment="1">
      <alignment horizontal="center" vertical="center"/>
    </xf>
    <xf numFmtId="0" fontId="74" fillId="0" borderId="0" xfId="0" applyFont="1" applyAlignment="1">
      <alignment horizontal="center" vertical="center"/>
    </xf>
    <xf numFmtId="0" fontId="64" fillId="26" borderId="0" xfId="11" applyFont="1" applyFill="1" applyAlignment="1">
      <alignment horizontal="center" vertical="center" wrapText="1"/>
    </xf>
    <xf numFmtId="0" fontId="64" fillId="26" borderId="0" xfId="11" applyFont="1" applyFill="1" applyAlignment="1">
      <alignment horizontal="center" vertical="center"/>
    </xf>
    <xf numFmtId="0" fontId="49" fillId="0" borderId="0" xfId="11" applyFont="1" applyAlignment="1" applyProtection="1">
      <alignment horizontal="left" vertical="center" wrapText="1"/>
      <protection hidden="1"/>
    </xf>
    <xf numFmtId="0" fontId="49" fillId="0" borderId="5" xfId="11" applyFont="1" applyBorder="1" applyAlignment="1" applyProtection="1">
      <alignment horizontal="left" vertical="center" wrapText="1"/>
      <protection hidden="1"/>
    </xf>
    <xf numFmtId="0" fontId="89" fillId="0" borderId="0" xfId="11" applyFont="1" applyAlignment="1" applyProtection="1">
      <alignment horizontal="left" vertical="center" wrapText="1" indent="1"/>
      <protection hidden="1"/>
    </xf>
    <xf numFmtId="0" fontId="61" fillId="26" borderId="1" xfId="11" applyFont="1" applyFill="1" applyBorder="1" applyAlignment="1" applyProtection="1">
      <alignment horizontal="left" vertical="center"/>
      <protection locked="0"/>
    </xf>
    <xf numFmtId="9" fontId="35" fillId="27" borderId="1" xfId="11" applyNumberFormat="1" applyFont="1" applyFill="1" applyBorder="1" applyAlignment="1" applyProtection="1">
      <alignment horizontal="left" vertical="center"/>
      <protection locked="0"/>
    </xf>
    <xf numFmtId="9" fontId="35" fillId="27" borderId="7" xfId="11" applyNumberFormat="1" applyFont="1" applyFill="1" applyBorder="1" applyAlignment="1" applyProtection="1">
      <alignment horizontal="left" vertical="center"/>
      <protection locked="0"/>
    </xf>
    <xf numFmtId="0" fontId="35" fillId="27" borderId="8" xfId="11" applyFont="1" applyFill="1" applyBorder="1" applyAlignment="1" applyProtection="1">
      <alignment horizontal="left" vertical="center"/>
      <protection locked="0"/>
    </xf>
    <xf numFmtId="0" fontId="64" fillId="18" borderId="0" xfId="11" applyFont="1" applyFill="1" applyAlignment="1" applyProtection="1">
      <alignment horizontal="center" vertical="center"/>
      <protection hidden="1"/>
    </xf>
    <xf numFmtId="10" fontId="37" fillId="0" borderId="1" xfId="5" applyNumberFormat="1" applyFont="1" applyBorder="1" applyAlignment="1" applyProtection="1">
      <alignment horizontal="right"/>
      <protection hidden="1"/>
    </xf>
    <xf numFmtId="0" fontId="61" fillId="26" borderId="7" xfId="15" applyFont="1" applyFill="1" applyBorder="1" applyAlignment="1" applyProtection="1">
      <alignment horizontal="left"/>
      <protection hidden="1"/>
    </xf>
    <xf numFmtId="0" fontId="61" fillId="26" borderId="8" xfId="15" applyFont="1" applyFill="1" applyBorder="1" applyAlignment="1" applyProtection="1">
      <alignment horizontal="left"/>
      <protection hidden="1"/>
    </xf>
    <xf numFmtId="0" fontId="27" fillId="0" borderId="1" xfId="5" applyNumberFormat="1" applyFont="1" applyBorder="1" applyAlignment="1" applyProtection="1">
      <alignment horizontal="right"/>
      <protection hidden="1"/>
    </xf>
    <xf numFmtId="0" fontId="61" fillId="26" borderId="3" xfId="15" applyFont="1" applyFill="1" applyBorder="1" applyAlignment="1" applyProtection="1">
      <alignment horizontal="center" wrapText="1"/>
      <protection hidden="1"/>
    </xf>
    <xf numFmtId="0" fontId="61" fillId="26" borderId="6" xfId="15" applyFont="1" applyFill="1" applyBorder="1" applyAlignment="1" applyProtection="1">
      <alignment horizontal="center" wrapText="1"/>
      <protection hidden="1"/>
    </xf>
    <xf numFmtId="0" fontId="35" fillId="25" borderId="45" xfId="15" applyFont="1" applyFill="1" applyBorder="1" applyAlignment="1" applyProtection="1">
      <alignment horizontal="right" vertical="center" wrapText="1"/>
      <protection hidden="1"/>
    </xf>
    <xf numFmtId="0" fontId="35" fillId="25" borderId="47" xfId="15" applyFont="1" applyFill="1" applyBorder="1" applyAlignment="1" applyProtection="1">
      <alignment horizontal="right" vertical="center" wrapText="1"/>
      <protection hidden="1"/>
    </xf>
    <xf numFmtId="0" fontId="37" fillId="0" borderId="1" xfId="15" applyFont="1" applyBorder="1" applyAlignment="1" applyProtection="1">
      <alignment horizontal="right"/>
      <protection hidden="1"/>
    </xf>
    <xf numFmtId="170" fontId="27" fillId="0" borderId="1" xfId="17" applyNumberFormat="1" applyFont="1" applyBorder="1" applyAlignment="1" applyProtection="1">
      <alignment horizontal="center"/>
      <protection hidden="1"/>
    </xf>
    <xf numFmtId="9" fontId="27" fillId="15" borderId="7" xfId="11" applyNumberFormat="1" applyFont="1" applyFill="1" applyBorder="1" applyAlignment="1" applyProtection="1">
      <alignment horizontal="left" vertical="center"/>
      <protection locked="0"/>
    </xf>
    <xf numFmtId="0" fontId="27" fillId="15" borderId="8" xfId="11" applyFont="1" applyFill="1" applyBorder="1" applyAlignment="1" applyProtection="1">
      <alignment horizontal="left" vertical="center"/>
      <protection locked="0"/>
    </xf>
    <xf numFmtId="0" fontId="27" fillId="15" borderId="1" xfId="11" applyFont="1" applyFill="1" applyBorder="1" applyAlignment="1" applyProtection="1">
      <alignment horizontal="left" vertical="center"/>
      <protection locked="0"/>
    </xf>
    <xf numFmtId="9" fontId="27" fillId="15" borderId="1" xfId="11" applyNumberFormat="1" applyFont="1" applyFill="1" applyBorder="1" applyAlignment="1" applyProtection="1">
      <alignment horizontal="left" vertical="center"/>
      <protection locked="0"/>
    </xf>
    <xf numFmtId="0" fontId="27" fillId="25" borderId="45" xfId="15" applyFont="1" applyFill="1" applyBorder="1" applyAlignment="1" applyProtection="1">
      <alignment horizontal="right" vertical="center" wrapText="1"/>
      <protection hidden="1"/>
    </xf>
    <xf numFmtId="0" fontId="27" fillId="25" borderId="47" xfId="15" applyFont="1" applyFill="1" applyBorder="1" applyAlignment="1" applyProtection="1">
      <alignment horizontal="right" vertical="center" wrapText="1"/>
      <protection hidden="1"/>
    </xf>
    <xf numFmtId="0" fontId="78" fillId="26" borderId="0" xfId="11" applyFont="1" applyFill="1" applyAlignment="1">
      <alignment horizontal="center" vertical="center"/>
    </xf>
    <xf numFmtId="169" fontId="83" fillId="18" borderId="37" xfId="13" applyNumberFormat="1" applyFont="1" applyFill="1" applyBorder="1" applyAlignment="1" applyProtection="1">
      <alignment horizontal="center" vertical="center"/>
      <protection hidden="1"/>
    </xf>
    <xf numFmtId="169" fontId="83" fillId="18" borderId="0" xfId="13" applyNumberFormat="1" applyFont="1" applyFill="1" applyBorder="1" applyAlignment="1" applyProtection="1">
      <alignment horizontal="center" vertical="center"/>
      <protection hidden="1"/>
    </xf>
    <xf numFmtId="169" fontId="83" fillId="18" borderId="38" xfId="13" applyNumberFormat="1" applyFont="1" applyFill="1" applyBorder="1" applyAlignment="1" applyProtection="1">
      <alignment horizontal="center" vertical="center"/>
      <protection hidden="1"/>
    </xf>
    <xf numFmtId="0" fontId="62" fillId="0" borderId="37" xfId="11" applyFont="1" applyBorder="1" applyAlignment="1">
      <alignment horizontal="center" vertical="center"/>
    </xf>
    <xf numFmtId="0" fontId="62" fillId="0" borderId="0" xfId="11" applyFont="1" applyBorder="1" applyAlignment="1">
      <alignment horizontal="center" vertical="center"/>
    </xf>
    <xf numFmtId="169" fontId="83" fillId="18" borderId="0" xfId="11" applyNumberFormat="1" applyFont="1" applyFill="1" applyAlignment="1" applyProtection="1">
      <alignment horizontal="center" vertical="center"/>
      <protection hidden="1"/>
    </xf>
    <xf numFmtId="0" fontId="31" fillId="0" borderId="10" xfId="11" applyFont="1" applyBorder="1" applyAlignment="1">
      <alignment horizontal="center" wrapText="1"/>
    </xf>
    <xf numFmtId="0" fontId="31" fillId="0" borderId="11" xfId="11" applyFont="1" applyBorder="1" applyAlignment="1">
      <alignment horizontal="center" wrapText="1"/>
    </xf>
    <xf numFmtId="0" fontId="31" fillId="0" borderId="13" xfId="11" applyFont="1" applyBorder="1" applyAlignment="1">
      <alignment horizontal="center" wrapText="1"/>
    </xf>
    <xf numFmtId="0" fontId="31" fillId="0" borderId="4" xfId="11" applyFont="1" applyBorder="1" applyAlignment="1">
      <alignment horizontal="center" wrapText="1"/>
    </xf>
    <xf numFmtId="0" fontId="31" fillId="0" borderId="5" xfId="11" applyFont="1" applyBorder="1" applyAlignment="1">
      <alignment horizontal="center" wrapText="1"/>
    </xf>
    <xf numFmtId="0" fontId="31" fillId="0" borderId="6" xfId="11" applyFont="1" applyBorder="1" applyAlignment="1">
      <alignment horizontal="center" wrapText="1"/>
    </xf>
    <xf numFmtId="169" fontId="86" fillId="0" borderId="10" xfId="11" applyNumberFormat="1" applyFont="1" applyBorder="1" applyAlignment="1" applyProtection="1">
      <alignment horizontal="center" vertical="center"/>
      <protection hidden="1"/>
    </xf>
    <xf numFmtId="169" fontId="86" fillId="0" borderId="11" xfId="11" applyNumberFormat="1" applyFont="1" applyBorder="1" applyAlignment="1" applyProtection="1">
      <alignment horizontal="center" vertical="center"/>
      <protection hidden="1"/>
    </xf>
    <xf numFmtId="169" fontId="86" fillId="0" borderId="13" xfId="11" applyNumberFormat="1" applyFont="1" applyBorder="1" applyAlignment="1" applyProtection="1">
      <alignment horizontal="center" vertical="center"/>
      <protection hidden="1"/>
    </xf>
    <xf numFmtId="169" fontId="86" fillId="0" borderId="4" xfId="11" applyNumberFormat="1" applyFont="1" applyBorder="1" applyAlignment="1" applyProtection="1">
      <alignment horizontal="center" vertical="center"/>
      <protection hidden="1"/>
    </xf>
    <xf numFmtId="169" fontId="86" fillId="0" borderId="5" xfId="11" applyNumberFormat="1" applyFont="1" applyBorder="1" applyAlignment="1" applyProtection="1">
      <alignment horizontal="center" vertical="center"/>
      <protection hidden="1"/>
    </xf>
    <xf numFmtId="169" fontId="86" fillId="0" borderId="6" xfId="11" applyNumberFormat="1" applyFont="1" applyBorder="1" applyAlignment="1" applyProtection="1">
      <alignment horizontal="center" vertical="center"/>
      <protection hidden="1"/>
    </xf>
    <xf numFmtId="0" fontId="79" fillId="0" borderId="0" xfId="11" applyFont="1" applyAlignment="1">
      <alignment horizontal="center" vertical="center" wrapText="1"/>
    </xf>
    <xf numFmtId="0" fontId="3" fillId="0" borderId="0" xfId="11" applyAlignment="1">
      <alignment horizontal="center" vertical="center"/>
    </xf>
    <xf numFmtId="0" fontId="27" fillId="19" borderId="16" xfId="11" applyFont="1" applyFill="1" applyBorder="1" applyAlignment="1">
      <alignment horizontal="center" vertical="center"/>
    </xf>
    <xf numFmtId="0" fontId="61" fillId="18" borderId="0" xfId="11" applyFont="1" applyFill="1" applyAlignment="1">
      <alignment horizontal="center" vertical="center" textRotation="45"/>
    </xf>
    <xf numFmtId="0" fontId="87" fillId="0" borderId="39" xfId="11" applyFont="1" applyBorder="1" applyAlignment="1" applyProtection="1">
      <alignment horizontal="center" vertical="center" wrapText="1"/>
      <protection hidden="1"/>
    </xf>
    <xf numFmtId="0" fontId="87" fillId="0" borderId="40" xfId="11" applyFont="1" applyBorder="1" applyAlignment="1" applyProtection="1">
      <alignment horizontal="center" vertical="center" wrapText="1"/>
      <protection hidden="1"/>
    </xf>
    <xf numFmtId="0" fontId="87" fillId="0" borderId="41" xfId="11" applyFont="1" applyBorder="1" applyAlignment="1" applyProtection="1">
      <alignment horizontal="center" vertical="center" wrapText="1"/>
      <protection hidden="1"/>
    </xf>
    <xf numFmtId="0" fontId="87" fillId="0" borderId="37" xfId="11" applyFont="1" applyBorder="1" applyAlignment="1" applyProtection="1">
      <alignment horizontal="center" vertical="center" wrapText="1"/>
      <protection hidden="1"/>
    </xf>
    <xf numFmtId="0" fontId="87" fillId="0" borderId="0" xfId="11" applyFont="1" applyBorder="1" applyAlignment="1" applyProtection="1">
      <alignment horizontal="center" vertical="center" wrapText="1"/>
      <protection hidden="1"/>
    </xf>
    <xf numFmtId="0" fontId="87" fillId="0" borderId="38" xfId="11" applyFont="1" applyBorder="1" applyAlignment="1" applyProtection="1">
      <alignment horizontal="center" vertical="center" wrapText="1"/>
      <protection hidden="1"/>
    </xf>
    <xf numFmtId="0" fontId="87" fillId="0" borderId="42" xfId="11" applyFont="1" applyBorder="1" applyAlignment="1" applyProtection="1">
      <alignment horizontal="center" vertical="center" wrapText="1"/>
      <protection hidden="1"/>
    </xf>
    <xf numFmtId="0" fontId="87" fillId="0" borderId="43" xfId="11" applyFont="1" applyBorder="1" applyAlignment="1" applyProtection="1">
      <alignment horizontal="center" vertical="center" wrapText="1"/>
      <protection hidden="1"/>
    </xf>
    <xf numFmtId="0" fontId="87" fillId="0" borderId="44" xfId="11" applyFont="1" applyBorder="1" applyAlignment="1" applyProtection="1">
      <alignment horizontal="center" vertical="center" wrapText="1"/>
      <protection hidden="1"/>
    </xf>
    <xf numFmtId="0" fontId="25" fillId="0" borderId="0" xfId="15" applyFont="1" applyAlignment="1">
      <alignment horizontal="center" vertical="center" wrapText="1"/>
    </xf>
    <xf numFmtId="0" fontId="61" fillId="26" borderId="51" xfId="15" applyFont="1" applyFill="1" applyBorder="1" applyAlignment="1" applyProtection="1">
      <alignment horizontal="center" vertical="center" wrapText="1"/>
      <protection hidden="1"/>
    </xf>
    <xf numFmtId="0" fontId="61" fillId="26" borderId="52" xfId="15" applyFont="1" applyFill="1" applyBorder="1" applyAlignment="1" applyProtection="1">
      <alignment horizontal="center" vertical="center" wrapText="1"/>
      <protection hidden="1"/>
    </xf>
    <xf numFmtId="0" fontId="61" fillId="26" borderId="53" xfId="15" applyFont="1" applyFill="1" applyBorder="1" applyAlignment="1" applyProtection="1">
      <alignment horizontal="center" vertical="center" wrapText="1"/>
      <protection hidden="1"/>
    </xf>
    <xf numFmtId="0" fontId="61" fillId="26" borderId="54" xfId="15" applyFont="1" applyFill="1" applyBorder="1" applyAlignment="1" applyProtection="1">
      <alignment horizontal="center" vertical="center" wrapText="1"/>
      <protection hidden="1"/>
    </xf>
    <xf numFmtId="0" fontId="90" fillId="0" borderId="10" xfId="15" applyFont="1" applyBorder="1" applyAlignment="1">
      <alignment horizontal="left" vertical="center" wrapText="1"/>
    </xf>
    <xf numFmtId="0" fontId="90" fillId="0" borderId="11" xfId="15" applyFont="1" applyBorder="1" applyAlignment="1">
      <alignment horizontal="left" vertical="center" wrapText="1"/>
    </xf>
    <xf numFmtId="0" fontId="90" fillId="0" borderId="13" xfId="15" applyFont="1" applyBorder="1" applyAlignment="1">
      <alignment horizontal="left" vertical="center" wrapText="1"/>
    </xf>
    <xf numFmtId="0" fontId="90" fillId="0" borderId="4" xfId="15" applyFont="1" applyBorder="1" applyAlignment="1">
      <alignment horizontal="left" vertical="center" wrapText="1"/>
    </xf>
    <xf numFmtId="0" fontId="90" fillId="0" borderId="5" xfId="15" applyFont="1" applyBorder="1" applyAlignment="1">
      <alignment horizontal="left" vertical="center" wrapText="1"/>
    </xf>
    <xf numFmtId="0" fontId="90" fillId="0" borderId="6" xfId="15" applyFont="1" applyBorder="1" applyAlignment="1">
      <alignment horizontal="left" vertical="center" wrapText="1"/>
    </xf>
    <xf numFmtId="0" fontId="16" fillId="3" borderId="0" xfId="0" applyFont="1" applyFill="1" applyBorder="1" applyAlignment="1">
      <alignment horizontal="left" vertical="center" wrapText="1" indent="1"/>
    </xf>
    <xf numFmtId="0" fontId="20" fillId="3" borderId="0" xfId="0" applyFont="1" applyFill="1" applyBorder="1" applyAlignment="1">
      <alignment horizontal="center" vertical="center"/>
    </xf>
    <xf numFmtId="0" fontId="20" fillId="3" borderId="0" xfId="0" applyFont="1" applyFill="1" applyBorder="1" applyAlignment="1">
      <alignment horizontal="left" vertical="center" wrapText="1" indent="1"/>
    </xf>
    <xf numFmtId="0" fontId="14" fillId="3" borderId="0" xfId="0" applyFont="1" applyFill="1" applyBorder="1" applyAlignment="1">
      <alignment horizontal="center" vertical="center"/>
    </xf>
    <xf numFmtId="0" fontId="13" fillId="3" borderId="0" xfId="0" applyFont="1" applyFill="1" applyBorder="1" applyAlignment="1">
      <alignment horizontal="center" vertical="center"/>
    </xf>
  </cellXfs>
  <cellStyles count="20">
    <cellStyle name="Comma" xfId="1" builtinId="3"/>
    <cellStyle name="Comma 2" xfId="7" xr:uid="{00000000-0005-0000-0000-000001000000}"/>
    <cellStyle name="Comma 3" xfId="10" xr:uid="{00000000-0005-0000-0000-000002000000}"/>
    <cellStyle name="Comma 4" xfId="12" xr:uid="{00000000-0005-0000-0000-000003000000}"/>
    <cellStyle name="Comma 5" xfId="13" xr:uid="{00000000-0005-0000-0000-000004000000}"/>
    <cellStyle name="Comma 5 2" xfId="18" xr:uid="{00000000-0005-0000-0000-000005000000}"/>
    <cellStyle name="Comma 6" xfId="17" xr:uid="{00000000-0005-0000-0000-000006000000}"/>
    <cellStyle name="Comma 7" xfId="19" xr:uid="{00000000-0005-0000-0000-000007000000}"/>
    <cellStyle name="Hyperlink" xfId="2" builtinId="8"/>
    <cellStyle name="Normal" xfId="0" builtinId="0"/>
    <cellStyle name="Normal 2" xfId="3" xr:uid="{00000000-0005-0000-0000-00000A000000}"/>
    <cellStyle name="Normal 3" xfId="4" xr:uid="{00000000-0005-0000-0000-00000B000000}"/>
    <cellStyle name="Normal 3 2" xfId="9" xr:uid="{00000000-0005-0000-0000-00000C000000}"/>
    <cellStyle name="Normal 4" xfId="6" xr:uid="{00000000-0005-0000-0000-00000D000000}"/>
    <cellStyle name="Normal 5" xfId="8" xr:uid="{00000000-0005-0000-0000-00000E000000}"/>
    <cellStyle name="Normal 6" xfId="11" xr:uid="{00000000-0005-0000-0000-00000F000000}"/>
    <cellStyle name="Normal 6 2" xfId="15" xr:uid="{00000000-0005-0000-0000-000010000000}"/>
    <cellStyle name="Percent" xfId="5" builtinId="5"/>
    <cellStyle name="Percent 2" xfId="14" xr:uid="{00000000-0005-0000-0000-000012000000}"/>
    <cellStyle name="Percent 2 2" xfId="16" xr:uid="{00000000-0005-0000-0000-000013000000}"/>
  </cellStyles>
  <dxfs count="42">
    <dxf>
      <font>
        <b/>
        <i val="0"/>
        <color rgb="FFFF0000"/>
      </font>
    </dxf>
    <dxf>
      <fill>
        <patternFill>
          <bgColor theme="9" tint="0.39994506668294322"/>
        </patternFill>
      </fill>
      <border>
        <left style="thin">
          <color auto="1"/>
        </left>
        <right style="thin">
          <color auto="1"/>
        </right>
        <top style="thin">
          <color auto="1"/>
        </top>
        <bottom style="thin">
          <color auto="1"/>
        </bottom>
        <vertical/>
        <horizontal/>
      </border>
    </dxf>
    <dxf>
      <fill>
        <patternFill>
          <bgColor theme="9" tint="0.39994506668294322"/>
        </patternFill>
      </fill>
      <border>
        <left style="thin">
          <color auto="1"/>
        </left>
        <right style="thin">
          <color auto="1"/>
        </right>
        <top style="thin">
          <color auto="1"/>
        </top>
        <bottom style="thin">
          <color auto="1"/>
        </bottom>
        <vertical/>
        <horizontal/>
      </border>
    </dxf>
    <dxf>
      <fill>
        <patternFill>
          <bgColor theme="9" tint="0.39994506668294322"/>
        </patternFill>
      </fill>
      <border>
        <left style="thin">
          <color auto="1"/>
        </left>
        <right style="thin">
          <color auto="1"/>
        </right>
        <top style="thin">
          <color auto="1"/>
        </top>
        <bottom style="thin">
          <color auto="1"/>
        </bottom>
        <vertical/>
        <horizontal/>
      </border>
    </dxf>
    <dxf>
      <fill>
        <patternFill>
          <bgColor theme="9" tint="0.39994506668294322"/>
        </patternFill>
      </fill>
      <border>
        <left style="thin">
          <color auto="1"/>
        </left>
        <right style="thin">
          <color auto="1"/>
        </right>
        <top style="thin">
          <color auto="1"/>
        </top>
        <bottom style="thin">
          <color auto="1"/>
        </bottom>
        <vertical/>
        <horizontal/>
      </border>
    </dxf>
    <dxf>
      <fill>
        <patternFill>
          <bgColor theme="9" tint="0.39994506668294322"/>
        </patternFill>
      </fill>
      <border>
        <left style="thin">
          <color auto="1"/>
        </left>
        <right style="thin">
          <color auto="1"/>
        </right>
        <top style="thin">
          <color auto="1"/>
        </top>
        <bottom style="thin">
          <color auto="1"/>
        </bottom>
        <vertical/>
        <horizontal/>
      </border>
    </dxf>
    <dxf>
      <fill>
        <patternFill>
          <bgColor theme="9" tint="0.39994506668294322"/>
        </patternFill>
      </fill>
      <border>
        <left style="thin">
          <color auto="1"/>
        </left>
        <right style="thin">
          <color auto="1"/>
        </right>
        <top style="thin">
          <color auto="1"/>
        </top>
        <bottom style="thin">
          <color auto="1"/>
        </bottom>
        <vertical/>
        <horizontal/>
      </border>
    </dxf>
    <dxf>
      <fill>
        <patternFill>
          <bgColor theme="9" tint="0.39994506668294322"/>
        </patternFill>
      </fill>
      <border>
        <left style="thin">
          <color auto="1"/>
        </left>
        <right style="thin">
          <color auto="1"/>
        </right>
        <top style="thin">
          <color auto="1"/>
        </top>
        <bottom style="thin">
          <color auto="1"/>
        </bottom>
        <vertical/>
        <horizontal/>
      </border>
    </dxf>
    <dxf>
      <fill>
        <patternFill>
          <bgColor theme="9" tint="0.39994506668294322"/>
        </patternFill>
      </fill>
      <border>
        <left style="thin">
          <color auto="1"/>
        </left>
        <right style="thin">
          <color auto="1"/>
        </right>
        <top style="thin">
          <color auto="1"/>
        </top>
        <bottom style="thin">
          <color auto="1"/>
        </bottom>
        <vertical/>
        <horizontal/>
      </border>
    </dxf>
    <dxf>
      <fill>
        <patternFill>
          <bgColor theme="9" tint="0.39994506668294322"/>
        </patternFill>
      </fill>
      <border>
        <left style="thin">
          <color auto="1"/>
        </left>
        <right style="thin">
          <color auto="1"/>
        </right>
        <top style="thin">
          <color auto="1"/>
        </top>
        <bottom style="thin">
          <color auto="1"/>
        </bottom>
        <vertical/>
        <horizontal/>
      </border>
    </dxf>
    <dxf>
      <fill>
        <patternFill>
          <bgColor theme="9" tint="0.39994506668294322"/>
        </patternFill>
      </fill>
      <border>
        <left style="thin">
          <color auto="1"/>
        </left>
        <right style="thin">
          <color auto="1"/>
        </right>
        <top style="thin">
          <color auto="1"/>
        </top>
        <bottom style="thin">
          <color auto="1"/>
        </bottom>
        <vertical/>
        <horizontal/>
      </border>
    </dxf>
    <dxf>
      <fill>
        <patternFill>
          <bgColor theme="9" tint="0.39994506668294322"/>
        </patternFill>
      </fill>
      <border>
        <left style="thin">
          <color auto="1"/>
        </left>
        <right style="thin">
          <color auto="1"/>
        </right>
        <top style="thin">
          <color auto="1"/>
        </top>
        <bottom style="thin">
          <color auto="1"/>
        </bottom>
        <vertical/>
        <horizontal/>
      </border>
    </dxf>
    <dxf>
      <fill>
        <patternFill>
          <bgColor theme="9" tint="0.39994506668294322"/>
        </patternFill>
      </fill>
      <border>
        <left style="thin">
          <color auto="1"/>
        </left>
        <right style="thin">
          <color auto="1"/>
        </right>
        <top style="thin">
          <color auto="1"/>
        </top>
        <bottom style="thin">
          <color auto="1"/>
        </bottom>
        <vertical/>
        <horizontal/>
      </border>
    </dxf>
    <dxf>
      <fill>
        <patternFill>
          <bgColor theme="9" tint="0.39994506668294322"/>
        </patternFill>
      </fill>
      <border>
        <left style="thin">
          <color auto="1"/>
        </left>
        <right style="thin">
          <color auto="1"/>
        </right>
        <top style="thin">
          <color auto="1"/>
        </top>
        <bottom style="thin">
          <color auto="1"/>
        </bottom>
        <vertical/>
        <horizontal/>
      </border>
    </dxf>
    <dxf>
      <fill>
        <patternFill>
          <bgColor theme="9" tint="0.39994506668294322"/>
        </patternFill>
      </fill>
      <border>
        <left style="thin">
          <color auto="1"/>
        </left>
        <right style="thin">
          <color auto="1"/>
        </right>
        <top style="thin">
          <color auto="1"/>
        </top>
        <bottom style="thin">
          <color auto="1"/>
        </bottom>
        <vertical/>
        <horizontal/>
      </border>
    </dxf>
    <dxf>
      <fill>
        <patternFill>
          <bgColor theme="9" tint="0.39994506668294322"/>
        </patternFill>
      </fill>
      <border>
        <left style="thin">
          <color auto="1"/>
        </left>
        <right style="thin">
          <color auto="1"/>
        </right>
        <top style="thin">
          <color auto="1"/>
        </top>
        <bottom style="thin">
          <color auto="1"/>
        </bottom>
        <vertical/>
        <horizontal/>
      </border>
    </dxf>
    <dxf>
      <fill>
        <patternFill>
          <bgColor theme="9" tint="0.39994506668294322"/>
        </patternFill>
      </fill>
      <border>
        <left style="thin">
          <color auto="1"/>
        </left>
        <right style="thin">
          <color auto="1"/>
        </right>
        <top style="thin">
          <color auto="1"/>
        </top>
        <bottom style="thin">
          <color auto="1"/>
        </bottom>
        <vertical/>
        <horizontal/>
      </border>
    </dxf>
    <dxf>
      <fill>
        <patternFill>
          <bgColor theme="9" tint="0.39994506668294322"/>
        </patternFill>
      </fill>
      <border>
        <left style="thin">
          <color auto="1"/>
        </left>
        <right style="thin">
          <color auto="1"/>
        </right>
        <top style="thin">
          <color auto="1"/>
        </top>
        <bottom style="thin">
          <color auto="1"/>
        </bottom>
        <vertical/>
        <horizontal/>
      </border>
    </dxf>
    <dxf>
      <fill>
        <patternFill>
          <bgColor theme="9" tint="0.39994506668294322"/>
        </patternFill>
      </fill>
      <border>
        <left style="thin">
          <color auto="1"/>
        </left>
        <right style="thin">
          <color auto="1"/>
        </right>
        <top style="thin">
          <color auto="1"/>
        </top>
        <bottom style="thin">
          <color auto="1"/>
        </bottom>
        <vertical/>
        <horizontal/>
      </border>
    </dxf>
    <dxf>
      <fill>
        <patternFill>
          <bgColor theme="9" tint="0.39994506668294322"/>
        </patternFill>
      </fill>
      <border>
        <left style="thin">
          <color auto="1"/>
        </left>
        <right style="thin">
          <color auto="1"/>
        </right>
        <top style="thin">
          <color auto="1"/>
        </top>
        <bottom style="thin">
          <color auto="1"/>
        </bottom>
        <vertical/>
        <horizontal/>
      </border>
    </dxf>
    <dxf>
      <fill>
        <patternFill>
          <bgColor theme="9" tint="0.39994506668294322"/>
        </patternFill>
      </fill>
      <border>
        <left style="thin">
          <color auto="1"/>
        </left>
        <right style="thin">
          <color auto="1"/>
        </right>
        <top style="thin">
          <color auto="1"/>
        </top>
        <bottom style="thin">
          <color auto="1"/>
        </bottom>
        <vertical/>
        <horizontal/>
      </border>
    </dxf>
    <dxf>
      <fill>
        <patternFill>
          <bgColor theme="9" tint="0.39994506668294322"/>
        </patternFill>
      </fill>
      <border>
        <left style="thin">
          <color auto="1"/>
        </left>
        <right style="thin">
          <color auto="1"/>
        </right>
        <top style="thin">
          <color auto="1"/>
        </top>
        <bottom style="thin">
          <color auto="1"/>
        </bottom>
        <vertical/>
        <horizontal/>
      </border>
    </dxf>
    <dxf>
      <fill>
        <patternFill>
          <bgColor theme="9" tint="0.39994506668294322"/>
        </patternFill>
      </fill>
      <border>
        <left style="thin">
          <color auto="1"/>
        </left>
        <right style="thin">
          <color auto="1"/>
        </right>
        <top style="thin">
          <color auto="1"/>
        </top>
        <bottom style="thin">
          <color auto="1"/>
        </bottom>
        <vertical/>
        <horizontal/>
      </border>
    </dxf>
    <dxf>
      <fill>
        <patternFill>
          <bgColor theme="9" tint="0.39994506668294322"/>
        </patternFill>
      </fill>
      <border>
        <left style="thin">
          <color auto="1"/>
        </left>
        <right style="thin">
          <color auto="1"/>
        </right>
        <top style="thin">
          <color auto="1"/>
        </top>
        <bottom style="thin">
          <color auto="1"/>
        </bottom>
        <vertical/>
        <horizontal/>
      </border>
    </dxf>
    <dxf>
      <fill>
        <patternFill>
          <bgColor theme="9" tint="0.39994506668294322"/>
        </patternFill>
      </fill>
      <border>
        <left style="thin">
          <color auto="1"/>
        </left>
        <right style="thin">
          <color auto="1"/>
        </right>
        <top style="thin">
          <color auto="1"/>
        </top>
        <bottom style="thin">
          <color auto="1"/>
        </bottom>
        <vertical/>
        <horizontal/>
      </border>
    </dxf>
    <dxf>
      <fill>
        <patternFill>
          <bgColor theme="9" tint="0.39994506668294322"/>
        </patternFill>
      </fill>
      <border>
        <left style="thin">
          <color auto="1"/>
        </left>
        <right style="thin">
          <color auto="1"/>
        </right>
        <top style="thin">
          <color auto="1"/>
        </top>
        <bottom style="thin">
          <color auto="1"/>
        </bottom>
        <vertical/>
        <horizontal/>
      </border>
    </dxf>
    <dxf>
      <fill>
        <patternFill>
          <bgColor theme="9" tint="0.39994506668294322"/>
        </patternFill>
      </fill>
      <border>
        <left style="thin">
          <color auto="1"/>
        </left>
        <right style="thin">
          <color auto="1"/>
        </right>
        <top style="thin">
          <color auto="1"/>
        </top>
        <bottom style="thin">
          <color auto="1"/>
        </bottom>
        <vertical/>
        <horizontal/>
      </border>
    </dxf>
    <dxf>
      <fill>
        <patternFill>
          <bgColor theme="9" tint="0.39994506668294322"/>
        </patternFill>
      </fill>
      <border>
        <left style="thin">
          <color auto="1"/>
        </left>
        <right style="thin">
          <color auto="1"/>
        </right>
        <top style="thin">
          <color auto="1"/>
        </top>
        <bottom style="thin">
          <color auto="1"/>
        </bottom>
        <vertical/>
        <horizontal/>
      </border>
    </dxf>
    <dxf>
      <font>
        <b/>
        <i val="0"/>
        <color rgb="FFFF0000"/>
      </font>
      <fill>
        <patternFill>
          <bgColor rgb="FFFFFF00"/>
        </patternFill>
      </fill>
      <border>
        <left style="thin">
          <color auto="1"/>
        </left>
        <right style="thin">
          <color auto="1"/>
        </right>
        <top style="thin">
          <color auto="1"/>
        </top>
        <bottom style="thin">
          <color auto="1"/>
        </bottom>
        <vertical/>
        <horizontal/>
      </border>
    </dxf>
    <dxf>
      <fill>
        <patternFill>
          <bgColor theme="9" tint="0.39994506668294322"/>
        </patternFill>
      </fill>
      <border>
        <left style="thin">
          <color auto="1"/>
        </left>
        <right style="thin">
          <color auto="1"/>
        </right>
        <top style="thin">
          <color auto="1"/>
        </top>
        <bottom style="thin">
          <color auto="1"/>
        </bottom>
        <vertical/>
        <horizontal/>
      </border>
    </dxf>
    <dxf>
      <font>
        <b/>
        <i val="0"/>
        <strike val="0"/>
        <color auto="1"/>
      </font>
      <fill>
        <patternFill>
          <bgColor rgb="FF92D050"/>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b/>
        <i val="0"/>
        <strike val="0"/>
        <color auto="1"/>
      </font>
      <fill>
        <patternFill>
          <bgColor rgb="FF92D050"/>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ont>
        <color theme="0"/>
      </font>
      <border>
        <left/>
        <right/>
        <top/>
        <bottom/>
        <vertical/>
        <horizontal/>
      </border>
    </dxf>
    <dxf>
      <font>
        <color rgb="FFFF0000"/>
      </font>
    </dxf>
    <dxf>
      <font>
        <color rgb="FFFF0000"/>
      </font>
    </dxf>
    <dxf>
      <font>
        <color rgb="FF9C0006"/>
      </font>
      <fill>
        <patternFill>
          <bgColor rgb="FFFFC7CE"/>
        </patternFill>
      </fill>
    </dxf>
    <dxf>
      <font>
        <color rgb="FF9C0006"/>
      </font>
      <fill>
        <patternFill>
          <bgColor rgb="FFFFC7CE"/>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styles" Target="styles.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spPr>
            <a:solidFill>
              <a:schemeClr val="accent2"/>
            </a:solidFill>
            <a:ln>
              <a:noFill/>
            </a:ln>
            <a:effectLst/>
          </c:spPr>
          <c:invertIfNegative val="0"/>
          <c:dPt>
            <c:idx val="1"/>
            <c:invertIfNegative val="0"/>
            <c:bubble3D val="0"/>
            <c:spPr>
              <a:solidFill>
                <a:srgbClr val="92D050"/>
              </a:solidFill>
              <a:ln>
                <a:noFill/>
              </a:ln>
              <a:effectLst/>
            </c:spPr>
            <c:extLst>
              <c:ext xmlns:c16="http://schemas.microsoft.com/office/drawing/2014/chart" uri="{C3380CC4-5D6E-409C-BE32-E72D297353CC}">
                <c16:uniqueId val="{00000001-46D0-426A-B037-FC04DE9FA8FE}"/>
              </c:ext>
            </c:extLst>
          </c:dPt>
          <c:dLbls>
            <c:dLbl>
              <c:idx val="0"/>
              <c:tx>
                <c:strRef>
                  <c:f>'SIP GRAPH'!$K$8</c:f>
                  <c:strCache>
                    <c:ptCount val="1"/>
                    <c:pt idx="0">
                      <c:v>39.30 lakhs</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{62D14DF7-CEC8-4E46-BDB8-13A24EEB18F8}</c15:txfldGUID>
                      <c15:f>'SIP GRAPH'!$K$8</c15:f>
                      <c15:dlblFieldTableCache>
                        <c:ptCount val="1"/>
                        <c:pt idx="0">
                          <c:v>39.30 lakhs</c:v>
                        </c:pt>
                      </c15:dlblFieldTableCache>
                    </c15:dlblFTEntry>
                  </c15:dlblFieldTable>
                  <c15:showDataLabelsRange val="0"/>
                </c:ext>
                <c:ext xmlns:c16="http://schemas.microsoft.com/office/drawing/2014/chart" uri="{C3380CC4-5D6E-409C-BE32-E72D297353CC}">
                  <c16:uniqueId val="{00000002-46D0-426A-B037-FC04DE9FA8FE}"/>
                </c:ext>
              </c:extLst>
            </c:dLbl>
            <c:dLbl>
              <c:idx val="1"/>
              <c:tx>
                <c:strRef>
                  <c:f>'SIP GRAPH'!$L$8</c:f>
                  <c:strCache>
                    <c:ptCount val="1"/>
                    <c:pt idx="0">
                      <c:v>92.45 lakhs</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{975896D6-F93C-4931-BA23-FCC9D8F0878F}</c15:txfldGUID>
                      <c15:f>'SIP GRAPH'!$L$8</c15:f>
                      <c15:dlblFieldTableCache>
                        <c:ptCount val="1"/>
                        <c:pt idx="0">
                          <c:v>92.45 lakhs</c:v>
                        </c:pt>
                      </c15:dlblFieldTableCache>
                    </c15:dlblFTEntry>
                  </c15:dlblFieldTable>
                  <c15:showDataLabelsRange val="0"/>
                </c:ext>
                <c:ext xmlns:c16="http://schemas.microsoft.com/office/drawing/2014/chart" uri="{C3380CC4-5D6E-409C-BE32-E72D297353CC}">
                  <c16:uniqueId val="{00000001-46D0-426A-B037-FC04DE9FA8FE}"/>
                </c:ext>
              </c:extLst>
            </c:dLbl>
            <c:spPr>
              <a:noFill/>
              <a:ln>
                <a:noFill/>
              </a:ln>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'SIP GRAPH'!$K$4:$L$4</c:f>
              <c:strCache>
                <c:ptCount val="2"/>
                <c:pt idx="0">
                  <c:v>FD</c:v>
                </c:pt>
                <c:pt idx="1">
                  <c:v>MF</c:v>
                </c:pt>
              </c:strCache>
            </c:strRef>
          </c:cat>
          <c:val>
            <c:numRef>
              <c:f>'SIP GRAPH'!$K$5:$L$5</c:f>
              <c:numCache>
                <c:formatCode>0.00</c:formatCode>
                <c:ptCount val="2"/>
                <c:pt idx="0">
                  <c:v>39.299974756877305</c:v>
                </c:pt>
                <c:pt idx="1">
                  <c:v>92.454838936540668</c:v>
                </c:pt>
              </c:numCache>
            </c:numRef>
          </c:val>
          <c:extLst>
            <c:ext xmlns:c16="http://schemas.microsoft.com/office/drawing/2014/chart" uri="{C3380CC4-5D6E-409C-BE32-E72D297353CC}">
              <c16:uniqueId val="{00000000-61F7-431A-B879-E137413A8426}"/>
            </c:ext>
          </c:extLst>
        </c:ser>
        <c:dLbls>
          <c:showLegendKey val="0"/>
          <c:showVal val="0"/>
          <c:showCatName val="0"/>
          <c:showSerName val="0"/>
          <c:showPercent val="0"/>
          <c:showBubbleSize val="0"/>
        </c:dLbls>
        <c:gapWidth val="50"/>
        <c:overlap val="-27"/>
        <c:axId val="93027328"/>
        <c:axId val="93057792"/>
      </c:barChart>
      <c:catAx>
        <c:axId val="93027328"/>
        <c:scaling>
          <c:orientation val="minMax"/>
        </c:scaling>
        <c:delete val="0"/>
        <c:axPos val="b"/>
        <c:numFmt formatCode="General" sourceLinked="1"/>
        <c:majorTickMark val="out"/>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1200" b="1" i="0" u="none" strike="noStrike" kern="1200" baseline="0">
                <a:solidFill>
                  <a:schemeClr val="tx1">
                    <a:lumMod val="65000"/>
                    <a:lumOff val="35000"/>
                  </a:schemeClr>
                </a:solidFill>
                <a:latin typeface="+mn-lt"/>
                <a:ea typeface="+mn-ea"/>
                <a:cs typeface="+mn-cs"/>
              </a:defRPr>
            </a:pPr>
            <a:endParaRPr lang="en-US"/>
          </a:p>
        </c:txPr>
        <c:crossAx val="93057792"/>
        <c:crosses val="autoZero"/>
        <c:auto val="1"/>
        <c:lblAlgn val="ctr"/>
        <c:lblOffset val="100"/>
        <c:noMultiLvlLbl val="0"/>
      </c:catAx>
      <c:valAx>
        <c:axId val="93057792"/>
        <c:scaling>
          <c:orientation val="minMax"/>
        </c:scaling>
        <c:delete val="0"/>
        <c:axPos val="l"/>
        <c:numFmt formatCode="[&gt;=10000000]##\,##\,##\,##0;[&gt;=100000]\ ##\,##\,##0;##,##0" sourceLinked="0"/>
        <c:majorTickMark val="none"/>
        <c:minorTickMark val="none"/>
        <c:tickLblPos val="nextTo"/>
        <c:spPr>
          <a:noFill/>
          <a:ln>
            <a:solidFill>
              <a:schemeClr val="tx1"/>
            </a:solid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93027328"/>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solidFill>
      <a:round/>
    </a:ln>
    <a:effectLst/>
  </c:spPr>
  <c:txPr>
    <a:bodyPr/>
    <a:lstStyle/>
    <a:p>
      <a:pPr>
        <a:defRPr/>
      </a:pPr>
      <a:endParaRPr lang="en-US"/>
    </a:p>
  </c:txPr>
  <c:printSettings>
    <c:headerFooter/>
    <c:pageMargins b="0.75000000000000022" l="0.70000000000000018" r="0.70000000000000018" t="0.75000000000000022" header="0.3000000000000001" footer="0.3000000000000001"/>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spPr>
            <a:solidFill>
              <a:schemeClr val="accent2"/>
            </a:solidFill>
            <a:ln>
              <a:noFill/>
            </a:ln>
            <a:effectLst/>
          </c:spPr>
          <c:invertIfNegative val="0"/>
          <c:dPt>
            <c:idx val="1"/>
            <c:invertIfNegative val="0"/>
            <c:bubble3D val="0"/>
            <c:spPr>
              <a:solidFill>
                <a:srgbClr val="92D050"/>
              </a:solidFill>
              <a:ln>
                <a:noFill/>
              </a:ln>
              <a:effectLst/>
            </c:spPr>
            <c:extLst>
              <c:ext xmlns:c16="http://schemas.microsoft.com/office/drawing/2014/chart" uri="{C3380CC4-5D6E-409C-BE32-E72D297353CC}">
                <c16:uniqueId val="{00000001-CE9A-4543-B60F-C6B4BB0053D5}"/>
              </c:ext>
            </c:extLst>
          </c:dPt>
          <c:dLbls>
            <c:spPr>
              <a:noFill/>
              <a:ln>
                <a:noFill/>
              </a:ln>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'SIP DELAY'!$J$5:$K$5</c:f>
              <c:strCache>
                <c:ptCount val="2"/>
                <c:pt idx="0">
                  <c:v>Saved now</c:v>
                </c:pt>
                <c:pt idx="1">
                  <c:v>Opportunity cost</c:v>
                </c:pt>
              </c:strCache>
            </c:strRef>
          </c:cat>
          <c:val>
            <c:numRef>
              <c:f>'SIP DELAY'!$J$6:$K$6</c:f>
              <c:numCache>
                <c:formatCode>[&gt;=10000000]##\,##\,##\,##0;[&gt;=100000]\ ##\,##\,##0;##,##0</c:formatCode>
                <c:ptCount val="2"/>
                <c:pt idx="0">
                  <c:v>60000</c:v>
                </c:pt>
                <c:pt idx="1">
                  <c:v>171910.6236878848</c:v>
                </c:pt>
              </c:numCache>
            </c:numRef>
          </c:val>
          <c:extLst>
            <c:ext xmlns:c16="http://schemas.microsoft.com/office/drawing/2014/chart" uri="{C3380CC4-5D6E-409C-BE32-E72D297353CC}">
              <c16:uniqueId val="{00000000-61F7-431A-B879-E137413A8426}"/>
            </c:ext>
          </c:extLst>
        </c:ser>
        <c:dLbls>
          <c:showLegendKey val="0"/>
          <c:showVal val="0"/>
          <c:showCatName val="0"/>
          <c:showSerName val="0"/>
          <c:showPercent val="0"/>
          <c:showBubbleSize val="0"/>
        </c:dLbls>
        <c:gapWidth val="50"/>
        <c:overlap val="-27"/>
        <c:axId val="93095424"/>
        <c:axId val="93096960"/>
      </c:barChart>
      <c:catAx>
        <c:axId val="93095424"/>
        <c:scaling>
          <c:orientation val="minMax"/>
        </c:scaling>
        <c:delete val="0"/>
        <c:axPos val="b"/>
        <c:numFmt formatCode="General" sourceLinked="1"/>
        <c:majorTickMark val="out"/>
        <c:minorTickMark val="none"/>
        <c:tickLblPos val="nextTo"/>
        <c:spPr>
          <a:noFill/>
          <a:ln w="9525" cap="flat" cmpd="sng" algn="ctr">
            <a:solidFill>
              <a:sysClr val="windowText" lastClr="000000"/>
            </a:solidFill>
            <a:round/>
          </a:ln>
          <a:effectLst/>
        </c:spPr>
        <c:txPr>
          <a:bodyPr rot="-60000000" spcFirstLastPara="1" vertOverflow="ellipsis" vert="horz" wrap="square" anchor="ctr" anchorCtr="1"/>
          <a:lstStyle/>
          <a:p>
            <a:pPr>
              <a:defRPr sz="1200" b="1" i="0" u="none" strike="noStrike" kern="1200" baseline="0">
                <a:solidFill>
                  <a:schemeClr val="tx1">
                    <a:lumMod val="65000"/>
                    <a:lumOff val="35000"/>
                  </a:schemeClr>
                </a:solidFill>
                <a:latin typeface="+mn-lt"/>
                <a:ea typeface="+mn-ea"/>
                <a:cs typeface="+mn-cs"/>
              </a:defRPr>
            </a:pPr>
            <a:endParaRPr lang="en-US"/>
          </a:p>
        </c:txPr>
        <c:crossAx val="93096960"/>
        <c:crosses val="autoZero"/>
        <c:auto val="1"/>
        <c:lblAlgn val="ctr"/>
        <c:lblOffset val="100"/>
        <c:noMultiLvlLbl val="0"/>
      </c:catAx>
      <c:valAx>
        <c:axId val="93096960"/>
        <c:scaling>
          <c:orientation val="minMax"/>
          <c:min val="0"/>
        </c:scaling>
        <c:delete val="0"/>
        <c:axPos val="l"/>
        <c:numFmt formatCode="[&gt;=10000000]##\,##\,##\,##0;[&gt;=100000]\ ##\,##\,##0;##,##0" sourceLinked="0"/>
        <c:majorTickMark val="none"/>
        <c:minorTickMark val="none"/>
        <c:tickLblPos val="nextTo"/>
        <c:spPr>
          <a:noFill/>
          <a:ln>
            <a:solidFill>
              <a:sysClr val="windowText" lastClr="000000"/>
            </a:solid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93095424"/>
        <c:crosses val="autoZero"/>
        <c:crossBetween val="between"/>
      </c:valAx>
      <c:spPr>
        <a:noFill/>
        <a:ln>
          <a:noFill/>
        </a:ln>
        <a:effectLst/>
      </c:spPr>
    </c:plotArea>
    <c:plotVisOnly val="1"/>
    <c:dispBlanksAs val="gap"/>
    <c:showDLblsOverMax val="0"/>
  </c:chart>
  <c:spPr>
    <a:solidFill>
      <a:schemeClr val="bg1"/>
    </a:solidFill>
    <a:ln w="9525" cap="flat" cmpd="sng" algn="ctr">
      <a:solidFill>
        <a:sysClr val="windowText" lastClr="000000"/>
      </a:solidFill>
      <a:round/>
    </a:ln>
    <a:effectLst/>
  </c:spPr>
  <c:txPr>
    <a:bodyPr/>
    <a:lstStyle/>
    <a:p>
      <a:pPr>
        <a:defRPr/>
      </a:pPr>
      <a:endParaRPr lang="en-US"/>
    </a:p>
  </c:txPr>
  <c:printSettings>
    <c:headerFooter/>
    <c:pageMargins b="0.75000000000000022" l="0.70000000000000018" r="0.70000000000000018" t="0.75000000000000022" header="0.3000000000000001" footer="0.3000000000000001"/>
    <c:pageSetup orientation="landscape"/>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spPr>
            <a:solidFill>
              <a:schemeClr val="accent2"/>
            </a:solidFill>
            <a:ln>
              <a:noFill/>
            </a:ln>
            <a:effectLst/>
          </c:spPr>
          <c:invertIfNegative val="0"/>
          <c:dPt>
            <c:idx val="1"/>
            <c:invertIfNegative val="0"/>
            <c:bubble3D val="0"/>
            <c:spPr>
              <a:solidFill>
                <a:srgbClr val="92D050"/>
              </a:solidFill>
              <a:ln>
                <a:noFill/>
              </a:ln>
              <a:effectLst/>
            </c:spPr>
            <c:extLst>
              <c:ext xmlns:c16="http://schemas.microsoft.com/office/drawing/2014/chart" uri="{C3380CC4-5D6E-409C-BE32-E72D297353CC}">
                <c16:uniqueId val="{00000001-68A1-4534-A711-56DB688D8CB8}"/>
              </c:ext>
            </c:extLst>
          </c:dPt>
          <c:dLbls>
            <c:spPr>
              <a:noFill/>
              <a:ln>
                <a:noFill/>
              </a:ln>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'SIP TARGET'!$L$14:$M$14</c:f>
              <c:strCache>
                <c:ptCount val="2"/>
                <c:pt idx="0">
                  <c:v>Through FD</c:v>
                </c:pt>
                <c:pt idx="1">
                  <c:v>Through MF</c:v>
                </c:pt>
              </c:strCache>
            </c:strRef>
          </c:cat>
          <c:val>
            <c:numRef>
              <c:f>'SIP TARGET'!$L$15:$M$15</c:f>
              <c:numCache>
                <c:formatCode>[&gt;=10000000]##\,##\,##\,##0;[&gt;=100000]\ ##\,##\,##0;##,##0</c:formatCode>
                <c:ptCount val="2"/>
                <c:pt idx="0">
                  <c:v>8818.6348821875235</c:v>
                </c:pt>
                <c:pt idx="1">
                  <c:v>4476.2906503072627</c:v>
                </c:pt>
              </c:numCache>
            </c:numRef>
          </c:val>
          <c:extLst>
            <c:ext xmlns:c16="http://schemas.microsoft.com/office/drawing/2014/chart" uri="{C3380CC4-5D6E-409C-BE32-E72D297353CC}">
              <c16:uniqueId val="{00000000-61F7-431A-B879-E137413A8426}"/>
            </c:ext>
          </c:extLst>
        </c:ser>
        <c:dLbls>
          <c:showLegendKey val="0"/>
          <c:showVal val="0"/>
          <c:showCatName val="0"/>
          <c:showSerName val="0"/>
          <c:showPercent val="0"/>
          <c:showBubbleSize val="0"/>
        </c:dLbls>
        <c:gapWidth val="50"/>
        <c:overlap val="-27"/>
        <c:axId val="100045184"/>
        <c:axId val="100046720"/>
      </c:barChart>
      <c:catAx>
        <c:axId val="100045184"/>
        <c:scaling>
          <c:orientation val="minMax"/>
        </c:scaling>
        <c:delete val="0"/>
        <c:axPos val="b"/>
        <c:numFmt formatCode="General" sourceLinked="1"/>
        <c:majorTickMark val="out"/>
        <c:minorTickMark val="none"/>
        <c:tickLblPos val="nextTo"/>
        <c:spPr>
          <a:noFill/>
          <a:ln w="9525" cap="flat" cmpd="sng" algn="ctr">
            <a:solidFill>
              <a:sysClr val="windowText" lastClr="000000"/>
            </a:solidFill>
            <a:round/>
          </a:ln>
          <a:effectLst/>
        </c:spPr>
        <c:txPr>
          <a:bodyPr rot="-60000000" spcFirstLastPara="1" vertOverflow="ellipsis" vert="horz" wrap="square" anchor="ctr" anchorCtr="1"/>
          <a:lstStyle/>
          <a:p>
            <a:pPr>
              <a:defRPr sz="1200" b="1" i="0" u="none" strike="noStrike" kern="1200" baseline="0">
                <a:solidFill>
                  <a:schemeClr val="tx1">
                    <a:lumMod val="65000"/>
                    <a:lumOff val="35000"/>
                  </a:schemeClr>
                </a:solidFill>
                <a:latin typeface="+mn-lt"/>
                <a:ea typeface="+mn-ea"/>
                <a:cs typeface="+mn-cs"/>
              </a:defRPr>
            </a:pPr>
            <a:endParaRPr lang="en-US"/>
          </a:p>
        </c:txPr>
        <c:crossAx val="100046720"/>
        <c:crosses val="autoZero"/>
        <c:auto val="1"/>
        <c:lblAlgn val="ctr"/>
        <c:lblOffset val="100"/>
        <c:noMultiLvlLbl val="0"/>
      </c:catAx>
      <c:valAx>
        <c:axId val="100046720"/>
        <c:scaling>
          <c:orientation val="minMax"/>
        </c:scaling>
        <c:delete val="0"/>
        <c:axPos val="l"/>
        <c:numFmt formatCode="[&gt;=10000000]##\,##\,##\,##0;[&gt;=100000]\ ##\,##\,##0;##,##0" sourceLinked="0"/>
        <c:majorTickMark val="none"/>
        <c:minorTickMark val="none"/>
        <c:tickLblPos val="nextTo"/>
        <c:spPr>
          <a:noFill/>
          <a:ln>
            <a:solidFill>
              <a:sysClr val="windowText" lastClr="000000"/>
            </a:solid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00045184"/>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solidFill>
      <a:round/>
    </a:ln>
    <a:effectLst/>
  </c:spPr>
  <c:txPr>
    <a:bodyPr/>
    <a:lstStyle/>
    <a:p>
      <a:pPr>
        <a:defRPr/>
      </a:pPr>
      <a:endParaRPr lang="en-US"/>
    </a:p>
  </c:txPr>
  <c:printSettings>
    <c:headerFooter/>
    <c:pageMargins b="0.75000000000000022" l="0.70000000000000018" r="0.70000000000000018" t="0.75000000000000022" header="0.3000000000000001" footer="0.3000000000000001"/>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lineChart>
        <c:grouping val="standard"/>
        <c:varyColors val="0"/>
        <c:ser>
          <c:idx val="0"/>
          <c:order val="0"/>
          <c:spPr>
            <a:ln w="28575" cap="rnd">
              <a:solidFill>
                <a:schemeClr val="accent1"/>
              </a:solidFill>
              <a:round/>
            </a:ln>
            <a:effectLst/>
          </c:spPr>
          <c:marker>
            <c:symbol val="none"/>
          </c:marker>
          <c:val>
            <c:numRef>
              <c:f>RETIREMENT!$B$20:$B$44</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val>
          <c:smooth val="0"/>
          <c:extLst>
            <c:ext xmlns:c16="http://schemas.microsoft.com/office/drawing/2014/chart" uri="{C3380CC4-5D6E-409C-BE32-E72D297353CC}">
              <c16:uniqueId val="{00000000-462C-4DFB-B258-74BB0E69D1EC}"/>
            </c:ext>
          </c:extLst>
        </c:ser>
        <c:ser>
          <c:idx val="1"/>
          <c:order val="1"/>
          <c:spPr>
            <a:ln w="28575" cap="rnd">
              <a:solidFill>
                <a:schemeClr val="accent2"/>
              </a:solidFill>
              <a:round/>
            </a:ln>
            <a:effectLst/>
          </c:spPr>
          <c:marker>
            <c:symbol val="none"/>
          </c:marker>
          <c:val>
            <c:numRef>
              <c:f>RETIREMENT!$F$20:$F$44</c:f>
              <c:numCache>
                <c:formatCode>_ * #,##0_ ;_ * \-#,##0_ ;_ * "-"??_ ;_ @_ </c:formatCode>
                <c:ptCount val="25"/>
                <c:pt idx="0">
                  <c:v>27298597.085758686</c:v>
                </c:pt>
                <c:pt idx="1">
                  <c:v>28521365.721596584</c:v>
                </c:pt>
                <c:pt idx="2">
                  <c:v>29775985.756653994</c:v>
                </c:pt>
                <c:pt idx="3">
                  <c:v>31060216.802991014</c:v>
                </c:pt>
                <c:pt idx="4">
                  <c:v>32371268.902202033</c:v>
                </c:pt>
                <c:pt idx="5">
                  <c:v>33705728.036468863</c:v>
                </c:pt>
                <c:pt idx="6">
                  <c:v>35059473.018805183</c:v>
                </c:pt>
                <c:pt idx="7">
                  <c:v>36427582.830096491</c:v>
                </c:pt>
                <c:pt idx="8">
                  <c:v>37804233.37308158</c:v>
                </c:pt>
                <c:pt idx="9">
                  <c:v>39182582.505963705</c:v>
                </c:pt>
                <c:pt idx="10">
                  <c:v>40554642.099868476</c:v>
                </c:pt>
                <c:pt idx="11">
                  <c:v>41911135.733762227</c:v>
                </c:pt>
                <c:pt idx="12">
                  <c:v>43241340.496479772</c:v>
                </c:pt>
                <c:pt idx="13">
                  <c:v>44532911.206829548</c:v>
                </c:pt>
                <c:pt idx="14">
                  <c:v>45771685.187856413</c:v>
                </c:pt>
                <c:pt idx="15">
                  <c:v>46941465.538606599</c:v>
                </c:pt>
                <c:pt idx="16">
                  <c:v>48023780.634349674</c:v>
                </c:pt>
                <c:pt idx="17">
                  <c:v>48997617.352180004</c:v>
                </c:pt>
                <c:pt idx="18">
                  <c:v>49839125.261057094</c:v>
                </c:pt>
                <c:pt idx="19">
                  <c:v>50521288.731241435</c:v>
                </c:pt>
                <c:pt idx="20">
                  <c:v>51013563.605088927</c:v>
                </c:pt>
                <c:pt idx="21">
                  <c:v>51281474.726364568</c:v>
                </c:pt>
                <c:pt idx="22">
                  <c:v>51286170.24541378</c:v>
                </c:pt>
                <c:pt idx="23">
                  <c:v>50983928.199152678</c:v>
                </c:pt>
                <c:pt idx="24">
                  <c:v>50325610.404017314</c:v>
                </c:pt>
              </c:numCache>
            </c:numRef>
          </c:val>
          <c:smooth val="0"/>
          <c:extLst>
            <c:ext xmlns:c16="http://schemas.microsoft.com/office/drawing/2014/chart" uri="{C3380CC4-5D6E-409C-BE32-E72D297353CC}">
              <c16:uniqueId val="{00000001-462C-4DFB-B258-74BB0E69D1EC}"/>
            </c:ext>
          </c:extLst>
        </c:ser>
        <c:dLbls>
          <c:showLegendKey val="0"/>
          <c:showVal val="0"/>
          <c:showCatName val="0"/>
          <c:showSerName val="0"/>
          <c:showPercent val="0"/>
          <c:showBubbleSize val="0"/>
        </c:dLbls>
        <c:smooth val="0"/>
        <c:axId val="100822400"/>
        <c:axId val="100836480"/>
      </c:lineChart>
      <c:catAx>
        <c:axId val="100822400"/>
        <c:scaling>
          <c:orientation val="minMax"/>
        </c:scaling>
        <c:delete val="0"/>
        <c:axPos val="b"/>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00836480"/>
        <c:crosses val="autoZero"/>
        <c:auto val="1"/>
        <c:lblAlgn val="ctr"/>
        <c:lblOffset val="100"/>
        <c:noMultiLvlLbl val="0"/>
      </c:catAx>
      <c:valAx>
        <c:axId val="100836480"/>
        <c:scaling>
          <c:orientation val="minMax"/>
          <c:min val="0"/>
        </c:scaling>
        <c:delete val="0"/>
        <c:axPos val="l"/>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00822400"/>
        <c:crosses val="autoZero"/>
        <c:crossBetween val="between"/>
      </c:valAx>
      <c:spPr>
        <a:noFill/>
        <a:ln>
          <a:noFill/>
        </a:ln>
        <a:effectLst/>
      </c:spPr>
    </c:plotArea>
    <c:plotVisOnly val="0"/>
    <c:dispBlanksAs val="gap"/>
    <c:showDLblsOverMax val="0"/>
  </c:chart>
  <c:spPr>
    <a:solidFill>
      <a:schemeClr val="bg1"/>
    </a:solidFill>
    <a:ln w="9525" cap="flat" cmpd="sng" algn="ctr">
      <a:solidFill>
        <a:srgbClr val="C00000"/>
      </a:solidFill>
      <a:round/>
    </a:ln>
    <a:effectLst/>
  </c:spPr>
  <c:txPr>
    <a:bodyPr/>
    <a:lstStyle/>
    <a:p>
      <a:pPr>
        <a:defRPr/>
      </a:pPr>
      <a:endParaRPr lang="en-US"/>
    </a:p>
  </c:txPr>
  <c:printSettings>
    <c:headerFooter/>
    <c:pageMargins b="0.75000000000000022" l="0.70000000000000018" r="0.70000000000000018" t="0.75000000000000022" header="0.3000000000000001" footer="0.3000000000000001"/>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lineChart>
        <c:grouping val="standard"/>
        <c:varyColors val="0"/>
        <c:ser>
          <c:idx val="0"/>
          <c:order val="0"/>
          <c:tx>
            <c:strRef>
              <c:f>SWP_NEW!$A$11</c:f>
              <c:strCache>
                <c:ptCount val="1"/>
                <c:pt idx="0">
                  <c:v>Years</c:v>
                </c:pt>
              </c:strCache>
            </c:strRef>
          </c:tx>
          <c:marker>
            <c:symbol val="none"/>
          </c:marker>
          <c:val>
            <c:numRef>
              <c:f>SWP_NEW!$A$12:$A$36</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val>
          <c:smooth val="0"/>
          <c:extLst>
            <c:ext xmlns:c16="http://schemas.microsoft.com/office/drawing/2014/chart" uri="{C3380CC4-5D6E-409C-BE32-E72D297353CC}">
              <c16:uniqueId val="{00000000-C00B-4833-B1BF-53E91677FF49}"/>
            </c:ext>
          </c:extLst>
        </c:ser>
        <c:ser>
          <c:idx val="1"/>
          <c:order val="1"/>
          <c:tx>
            <c:strRef>
              <c:f>SWP_NEW!$K$11</c:f>
              <c:strCache>
                <c:ptCount val="1"/>
                <c:pt idx="0">
                  <c:v>EoY*
Corpus</c:v>
                </c:pt>
              </c:strCache>
            </c:strRef>
          </c:tx>
          <c:marker>
            <c:symbol val="none"/>
          </c:marker>
          <c:val>
            <c:numRef>
              <c:f>SWP_NEW!$K$12:$K$36</c:f>
              <c:numCache>
                <c:formatCode>_(* #,##0_);_(* \(#,##0\);_(* "-"??_);_(@_)</c:formatCode>
                <c:ptCount val="25"/>
                <c:pt idx="0">
                  <c:v>5179400</c:v>
                </c:pt>
                <c:pt idx="1">
                  <c:v>5353956.8000000007</c:v>
                </c:pt>
                <c:pt idx="2">
                  <c:v>5521556.4536000015</c:v>
                </c:pt>
                <c:pt idx="3">
                  <c:v>5679755.9960672017</c:v>
                </c:pt>
                <c:pt idx="4">
                  <c:v>5825741.9467600565</c:v>
                </c:pt>
                <c:pt idx="5">
                  <c:v>5956284.0231601624</c:v>
                </c:pt>
                <c:pt idx="6">
                  <c:v>6067683.5392012205</c:v>
                </c:pt>
                <c:pt idx="7">
                  <c:v>6155715.9040759765</c:v>
                </c:pt>
                <c:pt idx="8">
                  <c:v>6215566.5752392933</c:v>
                </c:pt>
                <c:pt idx="9">
                  <c:v>6241759.7502875989</c:v>
                </c:pt>
                <c:pt idx="10">
                  <c:v>6228079.0060970029</c:v>
                </c:pt>
                <c:pt idx="11">
                  <c:v>6167479.0092885718</c:v>
                </c:pt>
                <c:pt idx="12">
                  <c:v>6051987.3289255584</c:v>
                </c:pt>
                <c:pt idx="13">
                  <c:v>5872595.2794137858</c:v>
                </c:pt>
                <c:pt idx="14">
                  <c:v>5619136.6078574592</c:v>
                </c:pt>
                <c:pt idx="15">
                  <c:v>5280152.7144984296</c:v>
                </c:pt>
                <c:pt idx="16">
                  <c:v>4842742.9561015451</c:v>
                </c:pt>
                <c:pt idx="17">
                  <c:v>4292398.4288788782</c:v>
                </c:pt>
                <c:pt idx="18">
                  <c:v>3612817.458267347</c:v>
                </c:pt>
                <c:pt idx="19">
                  <c:v>2785700.8359284368</c:v>
                </c:pt>
                <c:pt idx="20">
                  <c:v>1790524.6378952051</c:v>
                </c:pt>
                <c:pt idx="21">
                  <c:v>604288.22983172815</c:v>
                </c:pt>
                <c:pt idx="22">
                  <c:v>-798765.18633323885</c:v>
                </c:pt>
                <c:pt idx="23">
                  <c:v>-2447458.4080395792</c:v>
                </c:pt>
                <c:pt idx="24">
                  <c:v>-4374023.6804489903</c:v>
                </c:pt>
              </c:numCache>
            </c:numRef>
          </c:val>
          <c:smooth val="0"/>
          <c:extLst>
            <c:ext xmlns:c16="http://schemas.microsoft.com/office/drawing/2014/chart" uri="{C3380CC4-5D6E-409C-BE32-E72D297353CC}">
              <c16:uniqueId val="{00000001-C00B-4833-B1BF-53E91677FF49}"/>
            </c:ext>
          </c:extLst>
        </c:ser>
        <c:dLbls>
          <c:showLegendKey val="0"/>
          <c:showVal val="0"/>
          <c:showCatName val="0"/>
          <c:showSerName val="0"/>
          <c:showPercent val="0"/>
          <c:showBubbleSize val="0"/>
        </c:dLbls>
        <c:smooth val="0"/>
        <c:axId val="100767616"/>
        <c:axId val="100769152"/>
      </c:lineChart>
      <c:catAx>
        <c:axId val="100767616"/>
        <c:scaling>
          <c:orientation val="minMax"/>
        </c:scaling>
        <c:delete val="0"/>
        <c:axPos val="b"/>
        <c:majorTickMark val="out"/>
        <c:minorTickMark val="none"/>
        <c:tickLblPos val="nextTo"/>
        <c:crossAx val="100769152"/>
        <c:crosses val="autoZero"/>
        <c:auto val="1"/>
        <c:lblAlgn val="ctr"/>
        <c:lblOffset val="100"/>
        <c:noMultiLvlLbl val="0"/>
      </c:catAx>
      <c:valAx>
        <c:axId val="100769152"/>
        <c:scaling>
          <c:orientation val="minMax"/>
        </c:scaling>
        <c:delete val="0"/>
        <c:axPos val="l"/>
        <c:majorGridlines>
          <c:spPr>
            <a:ln>
              <a:noFill/>
            </a:ln>
          </c:spPr>
        </c:majorGridlines>
        <c:numFmt formatCode="General" sourceLinked="1"/>
        <c:majorTickMark val="out"/>
        <c:minorTickMark val="none"/>
        <c:tickLblPos val="nextTo"/>
        <c:crossAx val="100767616"/>
        <c:crosses val="autoZero"/>
        <c:crossBetween val="between"/>
      </c:valAx>
    </c:plotArea>
    <c:legend>
      <c:legendPos val="r"/>
      <c:overlay val="0"/>
    </c:legend>
    <c:plotVisOnly val="1"/>
    <c:dispBlanksAs val="gap"/>
    <c:showDLblsOverMax val="0"/>
  </c:chart>
  <c:printSettings>
    <c:headerFooter/>
    <c:pageMargins b="0.75000000000000022" l="0.70000000000000018" r="0.70000000000000018" t="0.75000000000000022" header="0.3000000000000001" footer="0.3000000000000001"/>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spPr>
            <a:solidFill>
              <a:schemeClr val="accent2"/>
            </a:solidFill>
            <a:ln>
              <a:noFill/>
            </a:ln>
            <a:effectLst/>
          </c:spPr>
          <c:invertIfNegative val="0"/>
          <c:dPt>
            <c:idx val="0"/>
            <c:invertIfNegative val="0"/>
            <c:bubble3D val="0"/>
            <c:spPr>
              <a:solidFill>
                <a:srgbClr val="92D050"/>
              </a:solidFill>
              <a:ln>
                <a:noFill/>
              </a:ln>
              <a:effectLst/>
            </c:spPr>
            <c:extLst>
              <c:ext xmlns:c16="http://schemas.microsoft.com/office/drawing/2014/chart" uri="{C3380CC4-5D6E-409C-BE32-E72D297353CC}">
                <c16:uniqueId val="{00000001-8F0A-4618-B787-6D23E68183CE}"/>
              </c:ext>
            </c:extLst>
          </c:dPt>
          <c:dPt>
            <c:idx val="1"/>
            <c:invertIfNegative val="0"/>
            <c:bubble3D val="0"/>
            <c:spPr>
              <a:solidFill>
                <a:srgbClr val="C00000"/>
              </a:solidFill>
              <a:ln>
                <a:noFill/>
              </a:ln>
              <a:effectLst/>
            </c:spPr>
            <c:extLst>
              <c:ext xmlns:c16="http://schemas.microsoft.com/office/drawing/2014/chart" uri="{C3380CC4-5D6E-409C-BE32-E72D297353CC}">
                <c16:uniqueId val="{00000003-8F0A-4618-B787-6D23E68183CE}"/>
              </c:ext>
            </c:extLst>
          </c:dPt>
          <c:dLbls>
            <c:dLbl>
              <c:idx val="0"/>
              <c:tx>
                <c:strRef>
                  <c:f>STP_CapSafe!$G$11</c:f>
                  <c:strCache>
                    <c:ptCount val="1"/>
                    <c:pt idx="0">
                      <c:v>27.33 lakhs</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{962F43D5-32AC-4E34-83AB-F6C1F8E19DC2}</c15:txfldGUID>
                      <c15:f>STP_CapSafe!$G$11</c15:f>
                      <c15:dlblFieldTableCache>
                        <c:ptCount val="1"/>
                        <c:pt idx="0">
                          <c:v>27.33 lakhs</c:v>
                        </c:pt>
                      </c15:dlblFieldTableCache>
                    </c15:dlblFTEntry>
                  </c15:dlblFieldTable>
                  <c15:showDataLabelsRange val="0"/>
                </c:ext>
                <c:ext xmlns:c16="http://schemas.microsoft.com/office/drawing/2014/chart" uri="{C3380CC4-5D6E-409C-BE32-E72D297353CC}">
                  <c16:uniqueId val="{00000001-8F0A-4618-B787-6D23E68183CE}"/>
                </c:ext>
              </c:extLst>
            </c:dLbl>
            <c:dLbl>
              <c:idx val="1"/>
              <c:tx>
                <c:strRef>
                  <c:f>STP_CapSafe!$H$11</c:f>
                  <c:strCache>
                    <c:ptCount val="1"/>
                    <c:pt idx="0">
                      <c:v>21.59 lakhs</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{8F74DFE6-265D-4403-99AA-FD69D95E4979}</c15:txfldGUID>
                      <c15:f>STP_CapSafe!$H$11</c15:f>
                      <c15:dlblFieldTableCache>
                        <c:ptCount val="1"/>
                        <c:pt idx="0">
                          <c:v>21.59 lakhs</c:v>
                        </c:pt>
                      </c15:dlblFieldTableCache>
                    </c15:dlblFTEntry>
                  </c15:dlblFieldTable>
                  <c15:showDataLabelsRange val="0"/>
                </c:ext>
                <c:ext xmlns:c16="http://schemas.microsoft.com/office/drawing/2014/chart" uri="{C3380CC4-5D6E-409C-BE32-E72D297353CC}">
                  <c16:uniqueId val="{00000003-8F0A-4618-B787-6D23E68183CE}"/>
                </c:ext>
              </c:extLst>
            </c:dLbl>
            <c:spPr>
              <a:noFill/>
              <a:ln>
                <a:noFill/>
              </a:ln>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STP_CapSafe!$G$9:$H$9</c:f>
              <c:strCache>
                <c:ptCount val="2"/>
                <c:pt idx="0">
                  <c:v>STP</c:v>
                </c:pt>
                <c:pt idx="1">
                  <c:v>Non-STP</c:v>
                </c:pt>
              </c:strCache>
            </c:strRef>
          </c:cat>
          <c:val>
            <c:numRef>
              <c:f>STP_CapSafe!$G$10:$H$10</c:f>
              <c:numCache>
                <c:formatCode>0.00</c:formatCode>
                <c:ptCount val="2"/>
                <c:pt idx="0">
                  <c:v>27.331508517695223</c:v>
                </c:pt>
                <c:pt idx="1">
                  <c:v>21.589249972727877</c:v>
                </c:pt>
              </c:numCache>
            </c:numRef>
          </c:val>
          <c:extLst>
            <c:ext xmlns:c16="http://schemas.microsoft.com/office/drawing/2014/chart" uri="{C3380CC4-5D6E-409C-BE32-E72D297353CC}">
              <c16:uniqueId val="{00000000-61F7-431A-B879-E137413A8426}"/>
            </c:ext>
          </c:extLst>
        </c:ser>
        <c:dLbls>
          <c:showLegendKey val="0"/>
          <c:showVal val="0"/>
          <c:showCatName val="0"/>
          <c:showSerName val="0"/>
          <c:showPercent val="0"/>
          <c:showBubbleSize val="0"/>
        </c:dLbls>
        <c:gapWidth val="50"/>
        <c:overlap val="-27"/>
        <c:axId val="101444608"/>
        <c:axId val="101122816"/>
      </c:barChart>
      <c:catAx>
        <c:axId val="101444608"/>
        <c:scaling>
          <c:orientation val="minMax"/>
        </c:scaling>
        <c:delete val="0"/>
        <c:axPos val="b"/>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200" b="1" i="0" u="none" strike="noStrike" kern="1200" baseline="0">
                <a:solidFill>
                  <a:schemeClr val="tx1">
                    <a:lumMod val="65000"/>
                    <a:lumOff val="35000"/>
                  </a:schemeClr>
                </a:solidFill>
                <a:latin typeface="+mn-lt"/>
                <a:ea typeface="+mn-ea"/>
                <a:cs typeface="+mn-cs"/>
              </a:defRPr>
            </a:pPr>
            <a:endParaRPr lang="en-US"/>
          </a:p>
        </c:txPr>
        <c:crossAx val="101122816"/>
        <c:crosses val="autoZero"/>
        <c:auto val="1"/>
        <c:lblAlgn val="ctr"/>
        <c:lblOffset val="100"/>
        <c:noMultiLvlLbl val="0"/>
      </c:catAx>
      <c:valAx>
        <c:axId val="101122816"/>
        <c:scaling>
          <c:orientation val="minMax"/>
        </c:scaling>
        <c:delete val="0"/>
        <c:axPos val="l"/>
        <c:numFmt formatCode="[&gt;=10000000]##\,##\,##\,##0;[&gt;=100000]\ ##\,##\,##0;##,##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01444608"/>
        <c:crosses val="autoZero"/>
        <c:crossBetween val="between"/>
      </c:valAx>
      <c:spPr>
        <a:noFill/>
        <a:ln>
          <a:noFill/>
        </a:ln>
        <a:effectLst/>
      </c:spPr>
    </c:plotArea>
    <c:plotVisOnly val="1"/>
    <c:dispBlanksAs val="gap"/>
    <c:showDLblsOverMax val="0"/>
  </c:chart>
  <c:spPr>
    <a:solidFill>
      <a:schemeClr val="bg1"/>
    </a:solidFill>
    <a:ln w="9525" cap="flat" cmpd="sng" algn="ctr">
      <a:solidFill>
        <a:srgbClr val="C00000"/>
      </a:solidFill>
      <a:round/>
    </a:ln>
    <a:effectLst/>
  </c:spPr>
  <c:txPr>
    <a:bodyPr/>
    <a:lstStyle/>
    <a:p>
      <a:pPr>
        <a:defRPr/>
      </a:pPr>
      <a:endParaRPr lang="en-US"/>
    </a:p>
  </c:txPr>
  <c:printSettings>
    <c:headerFooter/>
    <c:pageMargins b="0.75000000000000022" l="0.70000000000000018" r="0.70000000000000018" t="0.75000000000000022" header="0.3000000000000001" footer="0.3000000000000001"/>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tx>
            <c:strRef>
              <c:f>ANALYSIS!$C$3</c:f>
              <c:strCache>
                <c:ptCount val="1"/>
                <c:pt idx="0">
                  <c:v>Amt. Invested</c:v>
                </c:pt>
              </c:strCache>
            </c:strRef>
          </c:tx>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ANALYSIS!$B$4:$B$5</c:f>
              <c:strCache>
                <c:ptCount val="2"/>
                <c:pt idx="0">
                  <c:v>Step Up SIP</c:v>
                </c:pt>
                <c:pt idx="1">
                  <c:v>Normal SIP</c:v>
                </c:pt>
              </c:strCache>
            </c:strRef>
          </c:cat>
          <c:val>
            <c:numRef>
              <c:f>ANALYSIS!$C$4:$C$5</c:f>
              <c:numCache>
                <c:formatCode>_(* #,##0_);_(* \(#,##0\);_(* "-"??_);_(@_)</c:formatCode>
                <c:ptCount val="2"/>
                <c:pt idx="0">
                  <c:v>3060000</c:v>
                </c:pt>
                <c:pt idx="1">
                  <c:v>1800000</c:v>
                </c:pt>
              </c:numCache>
            </c:numRef>
          </c:val>
          <c:extLst>
            <c:ext xmlns:c16="http://schemas.microsoft.com/office/drawing/2014/chart" uri="{C3380CC4-5D6E-409C-BE32-E72D297353CC}">
              <c16:uniqueId val="{00000000-0E84-42F2-9FF6-CE5ABA75C15D}"/>
            </c:ext>
          </c:extLst>
        </c:ser>
        <c:ser>
          <c:idx val="1"/>
          <c:order val="1"/>
          <c:tx>
            <c:strRef>
              <c:f>ANALYSIS!$D$3</c:f>
              <c:strCache>
                <c:ptCount val="1"/>
                <c:pt idx="0">
                  <c:v>Wealth Created</c:v>
                </c:pt>
              </c:strCache>
            </c:strRef>
          </c:tx>
          <c:spPr>
            <a:solidFill>
              <a:schemeClr val="accent2"/>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ANALYSIS!$B$4:$B$5</c:f>
              <c:strCache>
                <c:ptCount val="2"/>
                <c:pt idx="0">
                  <c:v>Step Up SIP</c:v>
                </c:pt>
                <c:pt idx="1">
                  <c:v>Normal SIP</c:v>
                </c:pt>
              </c:strCache>
            </c:strRef>
          </c:cat>
          <c:val>
            <c:numRef>
              <c:f>ANALYSIS!$D$4:$D$5</c:f>
              <c:numCache>
                <c:formatCode>_(* #,##0_);_(* \(#,##0\);_(* "-"??_);_(@_)</c:formatCode>
                <c:ptCount val="2"/>
                <c:pt idx="0">
                  <c:v>8308002.1524340883</c:v>
                </c:pt>
                <c:pt idx="1">
                  <c:v>5652071.3813195275</c:v>
                </c:pt>
              </c:numCache>
            </c:numRef>
          </c:val>
          <c:extLst>
            <c:ext xmlns:c16="http://schemas.microsoft.com/office/drawing/2014/chart" uri="{C3380CC4-5D6E-409C-BE32-E72D297353CC}">
              <c16:uniqueId val="{00000001-0E84-42F2-9FF6-CE5ABA75C15D}"/>
            </c:ext>
          </c:extLst>
        </c:ser>
        <c:dLbls>
          <c:showLegendKey val="0"/>
          <c:showVal val="0"/>
          <c:showCatName val="0"/>
          <c:showSerName val="0"/>
          <c:showPercent val="0"/>
          <c:showBubbleSize val="0"/>
        </c:dLbls>
        <c:gapWidth val="219"/>
        <c:overlap val="-27"/>
        <c:axId val="106014592"/>
        <c:axId val="106016128"/>
      </c:barChart>
      <c:catAx>
        <c:axId val="10601459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1" i="0" u="none" strike="noStrike" kern="1200" baseline="0">
                <a:solidFill>
                  <a:schemeClr val="tx1">
                    <a:lumMod val="65000"/>
                    <a:lumOff val="35000"/>
                  </a:schemeClr>
                </a:solidFill>
                <a:latin typeface="+mn-lt"/>
                <a:ea typeface="+mn-ea"/>
                <a:cs typeface="+mn-cs"/>
              </a:defRPr>
            </a:pPr>
            <a:endParaRPr lang="en-US"/>
          </a:p>
        </c:txPr>
        <c:crossAx val="106016128"/>
        <c:crosses val="autoZero"/>
        <c:auto val="1"/>
        <c:lblAlgn val="ctr"/>
        <c:lblOffset val="100"/>
        <c:noMultiLvlLbl val="0"/>
      </c:catAx>
      <c:valAx>
        <c:axId val="106016128"/>
        <c:scaling>
          <c:orientation val="minMax"/>
        </c:scaling>
        <c:delete val="0"/>
        <c:axPos val="l"/>
        <c:numFmt formatCode="_(* #,##0_);_(* \(#,##0\);_(* &quot;-&quot;??_);_(@_)" sourceLinked="1"/>
        <c:majorTickMark val="none"/>
        <c:minorTickMark val="none"/>
        <c:tickLblPos val="nextTo"/>
        <c:spPr>
          <a:noFill/>
          <a:ln>
            <a:solidFill>
              <a:schemeClr val="bg1">
                <a:lumMod val="85000"/>
              </a:schemeClr>
            </a:solid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06014592"/>
        <c:crosses val="autoZero"/>
        <c:crossBetween val="between"/>
      </c:valAx>
      <c:spPr>
        <a:noFill/>
        <a:ln>
          <a:noFill/>
        </a:ln>
        <a:effectLst/>
      </c:spPr>
    </c:plotArea>
    <c:legend>
      <c:legendPos val="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0"/>
    <c:dispBlanksAs val="gap"/>
    <c:showDLblsOverMax val="0"/>
  </c:chart>
  <c:spPr>
    <a:solidFill>
      <a:schemeClr val="bg1"/>
    </a:solidFill>
    <a:ln w="9525" cap="flat" cmpd="sng" algn="ctr">
      <a:solidFill>
        <a:schemeClr val="accent1"/>
      </a:solidFill>
      <a:round/>
    </a:ln>
    <a:effectLst/>
  </c:spPr>
  <c:txPr>
    <a:bodyPr/>
    <a:lstStyle/>
    <a:p>
      <a:pPr>
        <a:defRPr/>
      </a:pPr>
      <a:endParaRPr lang="en-US"/>
    </a:p>
  </c:txPr>
  <c:printSettings>
    <c:headerFooter/>
    <c:pageMargins b="0.75000000000000022" l="0.70000000000000018" r="0.70000000000000018" t="0.75000000000000022" header="0.3000000000000001" footer="0.3000000000000001"/>
    <c:pageSetup/>
  </c:printSettings>
</c:chartSpace>
</file>

<file path=xl/drawings/_rels/drawing1.xml.rels><?xml version="1.0" encoding="UTF-8" standalone="yes"?>
<Relationships xmlns="http://schemas.openxmlformats.org/package/2006/relationships"><Relationship Id="rId8" Type="http://schemas.openxmlformats.org/officeDocument/2006/relationships/image" Target="../media/image1.png"/><Relationship Id="rId13" Type="http://schemas.openxmlformats.org/officeDocument/2006/relationships/hyperlink" Target="#'Debt_FD_SWP (2)'!A1"/><Relationship Id="rId3" Type="http://schemas.openxmlformats.org/officeDocument/2006/relationships/hyperlink" Target="#SIP_DELAY"/><Relationship Id="rId7" Type="http://schemas.openxmlformats.org/officeDocument/2006/relationships/hyperlink" Target="#DCF"/><Relationship Id="rId12" Type="http://schemas.openxmlformats.org/officeDocument/2006/relationships/hyperlink" Target="#Debt_FD"/><Relationship Id="rId17" Type="http://schemas.openxmlformats.org/officeDocument/2006/relationships/image" Target="../media/image4.png"/><Relationship Id="rId2" Type="http://schemas.openxmlformats.org/officeDocument/2006/relationships/hyperlink" Target="#SIP_TARGET"/><Relationship Id="rId16" Type="http://schemas.openxmlformats.org/officeDocument/2006/relationships/image" Target="../media/image3.jpg"/><Relationship Id="rId1" Type="http://schemas.openxmlformats.org/officeDocument/2006/relationships/hyperlink" Target="#SIP_GRAPH"/><Relationship Id="rId6" Type="http://schemas.openxmlformats.org/officeDocument/2006/relationships/hyperlink" Target="#'Capital Gain'!A1"/><Relationship Id="rId11" Type="http://schemas.openxmlformats.org/officeDocument/2006/relationships/hyperlink" Target="#OTHERS!A1"/><Relationship Id="rId5" Type="http://schemas.openxmlformats.org/officeDocument/2006/relationships/hyperlink" Target="#SWP_NEW!A1"/><Relationship Id="rId15" Type="http://schemas.openxmlformats.org/officeDocument/2006/relationships/hyperlink" Target="#'Debt_FD_SWP (3)'!A1"/><Relationship Id="rId10" Type="http://schemas.openxmlformats.org/officeDocument/2006/relationships/image" Target="../media/image2.png"/><Relationship Id="rId4" Type="http://schemas.openxmlformats.org/officeDocument/2006/relationships/hyperlink" Target="#RETIREMENT"/><Relationship Id="rId9" Type="http://schemas.openxmlformats.org/officeDocument/2006/relationships/hyperlink" Target="#DISCLAIMER!A1"/><Relationship Id="rId14" Type="http://schemas.openxmlformats.org/officeDocument/2006/relationships/hyperlink" Target="#HomePage!D4"/></Relationships>
</file>

<file path=xl/drawings/_rels/drawing10.xml.rels><?xml version="1.0" encoding="UTF-8" standalone="yes"?>
<Relationships xmlns="http://schemas.openxmlformats.org/package/2006/relationships"><Relationship Id="rId3" Type="http://schemas.openxmlformats.org/officeDocument/2006/relationships/hyperlink" Target="#CellOne"/><Relationship Id="rId2" Type="http://schemas.openxmlformats.org/officeDocument/2006/relationships/image" Target="../media/image5.png"/><Relationship Id="rId1" Type="http://schemas.openxmlformats.org/officeDocument/2006/relationships/hyperlink" Target="#'MAIN MENU'!A1"/><Relationship Id="rId4" Type="http://schemas.openxmlformats.org/officeDocument/2006/relationships/image" Target="../media/image6.png"/></Relationships>
</file>

<file path=xl/drawings/_rels/drawing11.xml.rels><?xml version="1.0" encoding="UTF-8" standalone="yes"?>
<Relationships xmlns="http://schemas.openxmlformats.org/package/2006/relationships"><Relationship Id="rId3" Type="http://schemas.openxmlformats.org/officeDocument/2006/relationships/image" Target="../media/image6.png"/><Relationship Id="rId2" Type="http://schemas.openxmlformats.org/officeDocument/2006/relationships/image" Target="../media/image11.png"/><Relationship Id="rId1" Type="http://schemas.openxmlformats.org/officeDocument/2006/relationships/hyperlink" Target="#DCF"/></Relationships>
</file>

<file path=xl/drawings/_rels/drawing12.xml.rels><?xml version="1.0" encoding="UTF-8" standalone="yes"?>
<Relationships xmlns="http://schemas.openxmlformats.org/package/2006/relationships"><Relationship Id="rId3" Type="http://schemas.openxmlformats.org/officeDocument/2006/relationships/image" Target="../media/image5.png"/><Relationship Id="rId2" Type="http://schemas.openxmlformats.org/officeDocument/2006/relationships/hyperlink" Target="#'MAIN MENU'!A1"/><Relationship Id="rId1" Type="http://schemas.openxmlformats.org/officeDocument/2006/relationships/hyperlink" Target="#'OTHERS (2)'!A1"/><Relationship Id="rId4" Type="http://schemas.openxmlformats.org/officeDocument/2006/relationships/image" Target="../media/image6.png"/></Relationships>
</file>

<file path=xl/drawings/_rels/drawing13.xml.rels><?xml version="1.0" encoding="UTF-8" standalone="yes"?>
<Relationships xmlns="http://schemas.openxmlformats.org/package/2006/relationships"><Relationship Id="rId3" Type="http://schemas.openxmlformats.org/officeDocument/2006/relationships/hyperlink" Target="#OTHERS!A1"/><Relationship Id="rId2" Type="http://schemas.openxmlformats.org/officeDocument/2006/relationships/image" Target="../media/image5.png"/><Relationship Id="rId1" Type="http://schemas.openxmlformats.org/officeDocument/2006/relationships/hyperlink" Target="#'MAIN MENU'!A1"/><Relationship Id="rId4" Type="http://schemas.openxmlformats.org/officeDocument/2006/relationships/image" Target="../media/image6.png"/></Relationships>
</file>

<file path=xl/drawings/_rels/drawing14.xml.rels><?xml version="1.0" encoding="UTF-8" standalone="yes"?>
<Relationships xmlns="http://schemas.openxmlformats.org/package/2006/relationships"><Relationship Id="rId3" Type="http://schemas.openxmlformats.org/officeDocument/2006/relationships/image" Target="../media/image6.png"/><Relationship Id="rId2" Type="http://schemas.openxmlformats.org/officeDocument/2006/relationships/image" Target="../media/image5.png"/><Relationship Id="rId1" Type="http://schemas.openxmlformats.org/officeDocument/2006/relationships/hyperlink" Target="#'MAIN MENU'!A1"/></Relationships>
</file>

<file path=xl/drawings/_rels/drawing15.xml.rels><?xml version="1.0" encoding="UTF-8" standalone="yes"?>
<Relationships xmlns="http://schemas.openxmlformats.org/package/2006/relationships"><Relationship Id="rId3" Type="http://schemas.openxmlformats.org/officeDocument/2006/relationships/image" Target="../media/image5.png"/><Relationship Id="rId2" Type="http://schemas.openxmlformats.org/officeDocument/2006/relationships/hyperlink" Target="#'MAIN MENU'!A1"/><Relationship Id="rId1" Type="http://schemas.openxmlformats.org/officeDocument/2006/relationships/hyperlink" Target="#'SWP_CashFlow (2)'!A1"/><Relationship Id="rId4" Type="http://schemas.openxmlformats.org/officeDocument/2006/relationships/image" Target="../media/image6.png"/></Relationships>
</file>

<file path=xl/drawings/_rels/drawing16.xml.rels><?xml version="1.0" encoding="UTF-8" standalone="yes"?>
<Relationships xmlns="http://schemas.openxmlformats.org/package/2006/relationships"><Relationship Id="rId3" Type="http://schemas.openxmlformats.org/officeDocument/2006/relationships/image" Target="../media/image6.png"/><Relationship Id="rId2" Type="http://schemas.openxmlformats.org/officeDocument/2006/relationships/image" Target="../media/image12.png"/><Relationship Id="rId1" Type="http://schemas.openxmlformats.org/officeDocument/2006/relationships/hyperlink" Target="#'Debt_FD_SWP (2)'!A1"/></Relationships>
</file>

<file path=xl/drawings/_rels/drawing17.xml.rels><?xml version="1.0" encoding="UTF-8" standalone="yes"?>
<Relationships xmlns="http://schemas.openxmlformats.org/package/2006/relationships"><Relationship Id="rId3" Type="http://schemas.openxmlformats.org/officeDocument/2006/relationships/image" Target="../media/image5.png"/><Relationship Id="rId2" Type="http://schemas.openxmlformats.org/officeDocument/2006/relationships/hyperlink" Target="#'MAIN MENU'!A1"/><Relationship Id="rId1" Type="http://schemas.openxmlformats.org/officeDocument/2006/relationships/hyperlink" Target="#'SWP_CashFlow (3)'!A1"/><Relationship Id="rId4" Type="http://schemas.openxmlformats.org/officeDocument/2006/relationships/image" Target="../media/image6.png"/></Relationships>
</file>

<file path=xl/drawings/_rels/drawing18.xml.rels><?xml version="1.0" encoding="UTF-8" standalone="yes"?>
<Relationships xmlns="http://schemas.openxmlformats.org/package/2006/relationships"><Relationship Id="rId3" Type="http://schemas.openxmlformats.org/officeDocument/2006/relationships/image" Target="../media/image6.png"/><Relationship Id="rId2" Type="http://schemas.openxmlformats.org/officeDocument/2006/relationships/image" Target="../media/image13.png"/><Relationship Id="rId1" Type="http://schemas.openxmlformats.org/officeDocument/2006/relationships/hyperlink" Target="#'Debt_FD_SWP (3)'!A1"/></Relationships>
</file>

<file path=xl/drawings/_rels/drawing19.xml.rels><?xml version="1.0" encoding="UTF-8" standalone="yes"?>
<Relationships xmlns="http://schemas.openxmlformats.org/package/2006/relationships"><Relationship Id="rId3" Type="http://schemas.openxmlformats.org/officeDocument/2006/relationships/hyperlink" Target="#'MAIN MENU'!A1"/><Relationship Id="rId2" Type="http://schemas.openxmlformats.org/officeDocument/2006/relationships/image" Target="../media/image14.png"/><Relationship Id="rId1" Type="http://schemas.openxmlformats.org/officeDocument/2006/relationships/hyperlink" Target="#Table"/><Relationship Id="rId4" Type="http://schemas.openxmlformats.org/officeDocument/2006/relationships/image" Target="../media/image5.png"/></Relationships>
</file>

<file path=xl/drawings/_rels/drawing2.xml.rels><?xml version="1.0" encoding="UTF-8" standalone="yes"?>
<Relationships xmlns="http://schemas.openxmlformats.org/package/2006/relationships"><Relationship Id="rId3" Type="http://schemas.openxmlformats.org/officeDocument/2006/relationships/image" Target="../media/image5.png"/><Relationship Id="rId2" Type="http://schemas.openxmlformats.org/officeDocument/2006/relationships/hyperlink" Target="#'MAIN MENU'!A1"/><Relationship Id="rId1" Type="http://schemas.openxmlformats.org/officeDocument/2006/relationships/chart" Target="../charts/chart1.xml"/><Relationship Id="rId4" Type="http://schemas.openxmlformats.org/officeDocument/2006/relationships/image" Target="../media/image6.png"/></Relationships>
</file>

<file path=xl/drawings/_rels/drawing20.xml.rels><?xml version="1.0" encoding="UTF-8" standalone="yes"?>
<Relationships xmlns="http://schemas.openxmlformats.org/package/2006/relationships"><Relationship Id="rId2" Type="http://schemas.openxmlformats.org/officeDocument/2006/relationships/image" Target="../media/image15.png"/><Relationship Id="rId1" Type="http://schemas.openxmlformats.org/officeDocument/2006/relationships/hyperlink" Target="#Table"/></Relationships>
</file>

<file path=xl/drawings/_rels/drawing21.xml.rels><?xml version="1.0" encoding="UTF-8" standalone="yes"?>
<Relationships xmlns="http://schemas.openxmlformats.org/package/2006/relationships"><Relationship Id="rId2" Type="http://schemas.openxmlformats.org/officeDocument/2006/relationships/image" Target="../media/image15.png"/><Relationship Id="rId1" Type="http://schemas.openxmlformats.org/officeDocument/2006/relationships/hyperlink" Target="#Table"/></Relationships>
</file>

<file path=xl/drawings/_rels/drawing22.xml.rels><?xml version="1.0" encoding="UTF-8" standalone="yes"?>
<Relationships xmlns="http://schemas.openxmlformats.org/package/2006/relationships"><Relationship Id="rId3" Type="http://schemas.openxmlformats.org/officeDocument/2006/relationships/hyperlink" Target="#HomePage!D4"/><Relationship Id="rId2" Type="http://schemas.openxmlformats.org/officeDocument/2006/relationships/image" Target="../media/image16.png"/><Relationship Id="rId1" Type="http://schemas.openxmlformats.org/officeDocument/2006/relationships/hyperlink" Target="#ANALYSIS!A1"/><Relationship Id="rId5" Type="http://schemas.openxmlformats.org/officeDocument/2006/relationships/image" Target="../media/image6.png"/><Relationship Id="rId4" Type="http://schemas.openxmlformats.org/officeDocument/2006/relationships/image" Target="../media/image17.png"/></Relationships>
</file>

<file path=xl/drawings/_rels/drawing23.xml.rels><?xml version="1.0" encoding="UTF-8" standalone="yes"?>
<Relationships xmlns="http://schemas.openxmlformats.org/package/2006/relationships"><Relationship Id="rId3" Type="http://schemas.openxmlformats.org/officeDocument/2006/relationships/image" Target="../media/image18.png"/><Relationship Id="rId2" Type="http://schemas.openxmlformats.org/officeDocument/2006/relationships/hyperlink" Target="#Table"/><Relationship Id="rId1" Type="http://schemas.openxmlformats.org/officeDocument/2006/relationships/chart" Target="../charts/chart7.xml"/><Relationship Id="rId6" Type="http://schemas.openxmlformats.org/officeDocument/2006/relationships/image" Target="../media/image5.png"/><Relationship Id="rId5" Type="http://schemas.openxmlformats.org/officeDocument/2006/relationships/hyperlink" Target="#'MAIN MENU'!A1"/><Relationship Id="rId4" Type="http://schemas.openxmlformats.org/officeDocument/2006/relationships/image" Target="../media/image6.png"/></Relationships>
</file>

<file path=xl/drawings/_rels/drawing24.xml.rels><?xml version="1.0" encoding="UTF-8" standalone="yes"?>
<Relationships xmlns="http://schemas.openxmlformats.org/package/2006/relationships"><Relationship Id="rId3" Type="http://schemas.openxmlformats.org/officeDocument/2006/relationships/image" Target="../media/image6.png"/><Relationship Id="rId2" Type="http://schemas.openxmlformats.org/officeDocument/2006/relationships/image" Target="../media/image5.png"/><Relationship Id="rId1" Type="http://schemas.openxmlformats.org/officeDocument/2006/relationships/hyperlink" Target="#'MAIN MENU'!A1"/></Relationships>
</file>

<file path=xl/drawings/_rels/drawing25.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hyperlink" Target="#'MAIN MENU'!A1"/></Relationships>
</file>

<file path=xl/drawings/_rels/drawing3.xml.rels><?xml version="1.0" encoding="UTF-8" standalone="yes"?>
<Relationships xmlns="http://schemas.openxmlformats.org/package/2006/relationships"><Relationship Id="rId3" Type="http://schemas.openxmlformats.org/officeDocument/2006/relationships/image" Target="../media/image5.png"/><Relationship Id="rId2" Type="http://schemas.openxmlformats.org/officeDocument/2006/relationships/hyperlink" Target="#'MAIN MENU'!A1"/><Relationship Id="rId1" Type="http://schemas.openxmlformats.org/officeDocument/2006/relationships/chart" Target="../charts/chart2.xml"/><Relationship Id="rId4" Type="http://schemas.openxmlformats.org/officeDocument/2006/relationships/image" Target="../media/image6.png"/></Relationships>
</file>

<file path=xl/drawings/_rels/drawing4.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image" Target="../media/image5.png"/><Relationship Id="rId1" Type="http://schemas.openxmlformats.org/officeDocument/2006/relationships/hyperlink" Target="#'MAIN MENU'!A1"/><Relationship Id="rId4" Type="http://schemas.openxmlformats.org/officeDocument/2006/relationships/image" Target="../media/image6.png"/></Relationships>
</file>

<file path=xl/drawings/_rels/drawing5.xml.rels><?xml version="1.0" encoding="UTF-8" standalone="yes"?>
<Relationships xmlns="http://schemas.openxmlformats.org/package/2006/relationships"><Relationship Id="rId3" Type="http://schemas.openxmlformats.org/officeDocument/2006/relationships/image" Target="../media/image5.png"/><Relationship Id="rId2" Type="http://schemas.openxmlformats.org/officeDocument/2006/relationships/hyperlink" Target="#'MAIN MENU'!A1"/><Relationship Id="rId1" Type="http://schemas.openxmlformats.org/officeDocument/2006/relationships/chart" Target="../charts/chart4.xml"/><Relationship Id="rId4" Type="http://schemas.openxmlformats.org/officeDocument/2006/relationships/image" Target="../media/image6.png"/></Relationships>
</file>

<file path=xl/drawings/_rels/drawing6.xml.rels><?xml version="1.0" encoding="UTF-8" standalone="yes"?>
<Relationships xmlns="http://schemas.openxmlformats.org/package/2006/relationships"><Relationship Id="rId3" Type="http://schemas.openxmlformats.org/officeDocument/2006/relationships/image" Target="../media/image5.png"/><Relationship Id="rId2" Type="http://schemas.openxmlformats.org/officeDocument/2006/relationships/hyperlink" Target="#'MAIN MENU'!A1"/><Relationship Id="rId1" Type="http://schemas.openxmlformats.org/officeDocument/2006/relationships/chart" Target="../charts/chart5.xml"/><Relationship Id="rId4" Type="http://schemas.openxmlformats.org/officeDocument/2006/relationships/image" Target="../media/image6.png"/></Relationships>
</file>

<file path=xl/drawings/_rels/drawing7.xml.rels><?xml version="1.0" encoding="UTF-8" standalone="yes"?>
<Relationships xmlns="http://schemas.openxmlformats.org/package/2006/relationships"><Relationship Id="rId3" Type="http://schemas.openxmlformats.org/officeDocument/2006/relationships/image" Target="../media/image8.jpeg"/><Relationship Id="rId2" Type="http://schemas.openxmlformats.org/officeDocument/2006/relationships/image" Target="../media/image5.png"/><Relationship Id="rId1" Type="http://schemas.openxmlformats.org/officeDocument/2006/relationships/hyperlink" Target="#'MAIN MENU'!A1"/></Relationships>
</file>

<file path=xl/drawings/_rels/drawing8.xml.rels><?xml version="1.0" encoding="UTF-8" standalone="yes"?>
<Relationships xmlns="http://schemas.openxmlformats.org/package/2006/relationships"><Relationship Id="rId3" Type="http://schemas.openxmlformats.org/officeDocument/2006/relationships/image" Target="../media/image5.png"/><Relationship Id="rId2" Type="http://schemas.openxmlformats.org/officeDocument/2006/relationships/hyperlink" Target="#'MAIN MENU'!A1"/><Relationship Id="rId1" Type="http://schemas.openxmlformats.org/officeDocument/2006/relationships/chart" Target="../charts/chart6.xml"/><Relationship Id="rId4" Type="http://schemas.openxmlformats.org/officeDocument/2006/relationships/image" Target="../media/image9.jpeg"/></Relationships>
</file>

<file path=xl/drawings/_rels/drawing9.xml.rels><?xml version="1.0" encoding="UTF-8" standalone="yes"?>
<Relationships xmlns="http://schemas.openxmlformats.org/package/2006/relationships"><Relationship Id="rId3" Type="http://schemas.openxmlformats.org/officeDocument/2006/relationships/image" Target="../media/image10.jpeg"/><Relationship Id="rId2" Type="http://schemas.openxmlformats.org/officeDocument/2006/relationships/image" Target="../media/image5.png"/><Relationship Id="rId1" Type="http://schemas.openxmlformats.org/officeDocument/2006/relationships/hyperlink" Target="#'MAIN MENU'!A1"/></Relationships>
</file>

<file path=xl/drawings/_rels/vmlDrawing1.vml.rels><?xml version="1.0" encoding="UTF-8" standalone="yes"?>
<Relationships xmlns="http://schemas.openxmlformats.org/package/2006/relationships"><Relationship Id="rId1" Type="http://schemas.openxmlformats.org/officeDocument/2006/relationships/image" Target="../media/image7.jpeg"/></Relationships>
</file>

<file path=xl/drawings/drawing1.xml><?xml version="1.0" encoding="utf-8"?>
<xdr:wsDr xmlns:xdr="http://schemas.openxmlformats.org/drawingml/2006/spreadsheetDrawing" xmlns:a="http://schemas.openxmlformats.org/drawingml/2006/main">
  <xdr:twoCellAnchor>
    <xdr:from>
      <xdr:col>0</xdr:col>
      <xdr:colOff>0</xdr:colOff>
      <xdr:row>0</xdr:row>
      <xdr:rowOff>85988</xdr:rowOff>
    </xdr:from>
    <xdr:to>
      <xdr:col>15</xdr:col>
      <xdr:colOff>583407</xdr:colOff>
      <xdr:row>6</xdr:row>
      <xdr:rowOff>89164</xdr:rowOff>
    </xdr:to>
    <xdr:sp macro="" textlink="">
      <xdr:nvSpPr>
        <xdr:cNvPr id="3" name="AutoShape 6" descr="Small grid">
          <a:extLst>
            <a:ext uri="{FF2B5EF4-FFF2-40B4-BE49-F238E27FC236}">
              <a16:creationId xmlns:a16="http://schemas.microsoft.com/office/drawing/2014/main" id="{00000000-0008-0000-0000-000003000000}"/>
            </a:ext>
          </a:extLst>
        </xdr:cNvPr>
        <xdr:cNvSpPr>
          <a:spLocks noChangeArrowheads="1"/>
        </xdr:cNvSpPr>
      </xdr:nvSpPr>
      <xdr:spPr bwMode="auto">
        <a:xfrm>
          <a:off x="0" y="85988"/>
          <a:ext cx="9691688" cy="1003301"/>
        </a:xfrm>
        <a:prstGeom prst="roundRect">
          <a:avLst>
            <a:gd name="adj" fmla="val 12500"/>
          </a:avLst>
        </a:prstGeom>
        <a:solidFill>
          <a:srgbClr val="FFC000"/>
        </a:solidFill>
        <a:ln w="9525">
          <a:solidFill>
            <a:schemeClr val="accent1"/>
          </a:solidFill>
          <a:round/>
          <a:headEnd/>
          <a:tailEnd/>
        </a:ln>
      </xdr:spPr>
      <xdr:txBody>
        <a:bodyPr anchor="ctr"/>
        <a:lstStyle/>
        <a:p>
          <a:pPr algn="ctr"/>
          <a:r>
            <a:rPr lang="en-US" sz="3200" b="1">
              <a:solidFill>
                <a:schemeClr val="bg2">
                  <a:lumMod val="10000"/>
                </a:schemeClr>
              </a:solidFill>
            </a:rPr>
            <a:t>FINANCIAL</a:t>
          </a:r>
          <a:r>
            <a:rPr lang="en-US" sz="3200" b="1" baseline="0">
              <a:solidFill>
                <a:schemeClr val="bg2">
                  <a:lumMod val="10000"/>
                </a:schemeClr>
              </a:solidFill>
            </a:rPr>
            <a:t> CALCULATORS</a:t>
          </a:r>
          <a:endParaRPr lang="en-US" sz="3200" b="1">
            <a:solidFill>
              <a:schemeClr val="bg2">
                <a:lumMod val="10000"/>
              </a:schemeClr>
            </a:solidFill>
          </a:endParaRPr>
        </a:p>
      </xdr:txBody>
    </xdr:sp>
    <xdr:clientData/>
  </xdr:twoCellAnchor>
  <xdr:twoCellAnchor>
    <xdr:from>
      <xdr:col>0</xdr:col>
      <xdr:colOff>0</xdr:colOff>
      <xdr:row>7</xdr:row>
      <xdr:rowOff>152400</xdr:rowOff>
    </xdr:from>
    <xdr:to>
      <xdr:col>15</xdr:col>
      <xdr:colOff>581025</xdr:colOff>
      <xdr:row>29</xdr:row>
      <xdr:rowOff>57150</xdr:rowOff>
    </xdr:to>
    <xdr:sp macro="" textlink="">
      <xdr:nvSpPr>
        <xdr:cNvPr id="13172" name="AutoShape 13">
          <a:extLst>
            <a:ext uri="{FF2B5EF4-FFF2-40B4-BE49-F238E27FC236}">
              <a16:creationId xmlns:a16="http://schemas.microsoft.com/office/drawing/2014/main" id="{00000000-0008-0000-0000-000074330000}"/>
            </a:ext>
          </a:extLst>
        </xdr:cNvPr>
        <xdr:cNvSpPr>
          <a:spLocks noChangeArrowheads="1"/>
        </xdr:cNvSpPr>
      </xdr:nvSpPr>
      <xdr:spPr bwMode="auto">
        <a:xfrm>
          <a:off x="0" y="1263650"/>
          <a:ext cx="10225088" cy="3405188"/>
        </a:xfrm>
        <a:prstGeom prst="roundRect">
          <a:avLst>
            <a:gd name="adj" fmla="val 2995"/>
          </a:avLst>
        </a:prstGeom>
        <a:solidFill>
          <a:schemeClr val="accent1">
            <a:lumMod val="60000"/>
            <a:lumOff val="40000"/>
          </a:schemeClr>
        </a:solidFill>
        <a:ln w="9525">
          <a:solidFill>
            <a:srgbClr val="000000"/>
          </a:solidFill>
          <a:round/>
          <a:headEnd/>
          <a:tailEnd/>
        </a:ln>
      </xdr:spPr>
    </xdr:sp>
    <xdr:clientData/>
  </xdr:twoCellAnchor>
  <xdr:twoCellAnchor>
    <xdr:from>
      <xdr:col>1</xdr:col>
      <xdr:colOff>158219</xdr:colOff>
      <xdr:row>8</xdr:row>
      <xdr:rowOff>122494</xdr:rowOff>
    </xdr:from>
    <xdr:to>
      <xdr:col>4</xdr:col>
      <xdr:colOff>273840</xdr:colOff>
      <xdr:row>12</xdr:row>
      <xdr:rowOff>91270</xdr:rowOff>
    </xdr:to>
    <xdr:sp macro="" textlink="">
      <xdr:nvSpPr>
        <xdr:cNvPr id="5" name="Rectangle 4">
          <a:hlinkClick xmlns:r="http://schemas.openxmlformats.org/officeDocument/2006/relationships" r:id="rId1" tooltip="Future value of SIP"/>
          <a:extLst>
            <a:ext uri="{FF2B5EF4-FFF2-40B4-BE49-F238E27FC236}">
              <a16:creationId xmlns:a16="http://schemas.microsoft.com/office/drawing/2014/main" id="{00000000-0008-0000-0000-000005000000}"/>
            </a:ext>
          </a:extLst>
        </xdr:cNvPr>
        <xdr:cNvSpPr>
          <a:spLocks noChangeArrowheads="1"/>
        </xdr:cNvSpPr>
      </xdr:nvSpPr>
      <xdr:spPr bwMode="auto">
        <a:xfrm>
          <a:off x="765438" y="1455994"/>
          <a:ext cx="1937277" cy="635526"/>
        </a:xfrm>
        <a:prstGeom prst="rect">
          <a:avLst/>
        </a:prstGeom>
        <a:ln>
          <a:headEnd/>
          <a:tailEnd/>
        </a:ln>
      </xdr:spPr>
      <xdr:style>
        <a:lnRef idx="0">
          <a:schemeClr val="accent5"/>
        </a:lnRef>
        <a:fillRef idx="3">
          <a:schemeClr val="accent5"/>
        </a:fillRef>
        <a:effectRef idx="3">
          <a:schemeClr val="accent5"/>
        </a:effectRef>
        <a:fontRef idx="minor">
          <a:schemeClr val="lt1"/>
        </a:fontRef>
      </xdr:style>
      <xdr:txBody>
        <a:bodyPr vertOverflow="clip" wrap="square" lIns="27432" tIns="22860" rIns="27432" bIns="22860" anchor="ctr" upright="1"/>
        <a:lstStyle/>
        <a:p>
          <a:pPr algn="ctr" rtl="1">
            <a:defRPr sz="1000"/>
          </a:pPr>
          <a:r>
            <a:rPr lang="en-US" sz="1200" b="1" i="0" strike="noStrike">
              <a:solidFill>
                <a:srgbClr val="002060"/>
              </a:solidFill>
              <a:effectLst>
                <a:outerShdw blurRad="50800" dist="38100" dir="5400000" algn="t" rotWithShape="0">
                  <a:prstClr val="black">
                    <a:alpha val="40000"/>
                  </a:prstClr>
                </a:outerShdw>
              </a:effectLst>
              <a:latin typeface="Arial"/>
              <a:cs typeface="Arial"/>
            </a:rPr>
            <a:t>SIP - WEALTH</a:t>
          </a:r>
          <a:r>
            <a:rPr lang="en-US" sz="1200" b="1" i="0" strike="noStrike" baseline="0">
              <a:solidFill>
                <a:srgbClr val="002060"/>
              </a:solidFill>
              <a:effectLst>
                <a:outerShdw blurRad="50800" dist="38100" dir="5400000" algn="t" rotWithShape="0">
                  <a:prstClr val="black">
                    <a:alpha val="40000"/>
                  </a:prstClr>
                </a:outerShdw>
              </a:effectLst>
              <a:latin typeface="Arial"/>
              <a:cs typeface="Arial"/>
            </a:rPr>
            <a:t> CREATION</a:t>
          </a:r>
        </a:p>
      </xdr:txBody>
    </xdr:sp>
    <xdr:clientData/>
  </xdr:twoCellAnchor>
  <xdr:twoCellAnchor>
    <xdr:from>
      <xdr:col>1</xdr:col>
      <xdr:colOff>132025</xdr:colOff>
      <xdr:row>14</xdr:row>
      <xdr:rowOff>24857</xdr:rowOff>
    </xdr:from>
    <xdr:to>
      <xdr:col>4</xdr:col>
      <xdr:colOff>247646</xdr:colOff>
      <xdr:row>17</xdr:row>
      <xdr:rowOff>144445</xdr:rowOff>
    </xdr:to>
    <xdr:sp macro="" textlink="">
      <xdr:nvSpPr>
        <xdr:cNvPr id="6" name="Rectangle 5">
          <a:hlinkClick xmlns:r="http://schemas.openxmlformats.org/officeDocument/2006/relationships" r:id="rId2" tooltip="SIP - Target Achievement"/>
          <a:extLst>
            <a:ext uri="{FF2B5EF4-FFF2-40B4-BE49-F238E27FC236}">
              <a16:creationId xmlns:a16="http://schemas.microsoft.com/office/drawing/2014/main" id="{00000000-0008-0000-0000-000006000000}"/>
            </a:ext>
          </a:extLst>
        </xdr:cNvPr>
        <xdr:cNvSpPr>
          <a:spLocks noChangeArrowheads="1"/>
        </xdr:cNvSpPr>
      </xdr:nvSpPr>
      <xdr:spPr bwMode="auto">
        <a:xfrm>
          <a:off x="739244" y="2358482"/>
          <a:ext cx="1937277" cy="619651"/>
        </a:xfrm>
        <a:prstGeom prst="rect">
          <a:avLst/>
        </a:prstGeom>
        <a:ln>
          <a:headEnd/>
          <a:tailEnd/>
        </a:ln>
      </xdr:spPr>
      <xdr:style>
        <a:lnRef idx="0">
          <a:schemeClr val="accent5"/>
        </a:lnRef>
        <a:fillRef idx="3">
          <a:schemeClr val="accent5"/>
        </a:fillRef>
        <a:effectRef idx="3">
          <a:schemeClr val="accent5"/>
        </a:effectRef>
        <a:fontRef idx="minor">
          <a:schemeClr val="lt1"/>
        </a:fontRef>
      </xdr:style>
      <xdr:txBody>
        <a:bodyPr vertOverflow="clip" wrap="square" lIns="27432" tIns="22860" rIns="27432" bIns="22860" anchor="ctr" upright="1"/>
        <a:lstStyle/>
        <a:p>
          <a:pPr algn="ctr" rtl="1">
            <a:defRPr sz="1000"/>
          </a:pPr>
          <a:r>
            <a:rPr lang="en-US" sz="1200" b="1" i="0" strike="noStrike" baseline="0">
              <a:solidFill>
                <a:srgbClr val="002060"/>
              </a:solidFill>
              <a:effectLst>
                <a:outerShdw blurRad="50800" dist="38100" dir="5400000" algn="t" rotWithShape="0">
                  <a:prstClr val="black">
                    <a:alpha val="40000"/>
                  </a:prstClr>
                </a:outerShdw>
              </a:effectLst>
              <a:latin typeface="Arial"/>
              <a:cs typeface="Arial"/>
            </a:rPr>
            <a:t>SIP - TARGET ACHIEVEMENT </a:t>
          </a:r>
          <a:endParaRPr lang="en-US" sz="1100" b="1" i="0" strike="noStrike" baseline="0">
            <a:solidFill>
              <a:srgbClr val="002060"/>
            </a:solidFill>
            <a:effectLst>
              <a:outerShdw blurRad="50800" dist="38100" dir="5400000" algn="t" rotWithShape="0">
                <a:prstClr val="black">
                  <a:alpha val="40000"/>
                </a:prstClr>
              </a:outerShdw>
            </a:effectLst>
            <a:latin typeface="Arial"/>
            <a:cs typeface="Arial"/>
          </a:endParaRPr>
        </a:p>
      </xdr:txBody>
    </xdr:sp>
    <xdr:clientData/>
  </xdr:twoCellAnchor>
  <xdr:twoCellAnchor>
    <xdr:from>
      <xdr:col>1</xdr:col>
      <xdr:colOff>117741</xdr:colOff>
      <xdr:row>19</xdr:row>
      <xdr:rowOff>46273</xdr:rowOff>
    </xdr:from>
    <xdr:to>
      <xdr:col>4</xdr:col>
      <xdr:colOff>233362</xdr:colOff>
      <xdr:row>23</xdr:row>
      <xdr:rowOff>7111</xdr:rowOff>
    </xdr:to>
    <xdr:sp macro="" textlink="">
      <xdr:nvSpPr>
        <xdr:cNvPr id="7" name="Rectangle 6">
          <a:hlinkClick xmlns:r="http://schemas.openxmlformats.org/officeDocument/2006/relationships" r:id="rId3" tooltip="SIP - Cost of Delay"/>
          <a:extLst>
            <a:ext uri="{FF2B5EF4-FFF2-40B4-BE49-F238E27FC236}">
              <a16:creationId xmlns:a16="http://schemas.microsoft.com/office/drawing/2014/main" id="{00000000-0008-0000-0000-000007000000}"/>
            </a:ext>
          </a:extLst>
        </xdr:cNvPr>
        <xdr:cNvSpPr>
          <a:spLocks noChangeArrowheads="1"/>
        </xdr:cNvSpPr>
      </xdr:nvSpPr>
      <xdr:spPr bwMode="auto">
        <a:xfrm>
          <a:off x="724960" y="3213336"/>
          <a:ext cx="1937277" cy="627588"/>
        </a:xfrm>
        <a:prstGeom prst="rect">
          <a:avLst/>
        </a:prstGeom>
        <a:ln>
          <a:headEnd/>
          <a:tailEnd/>
        </a:ln>
      </xdr:spPr>
      <xdr:style>
        <a:lnRef idx="0">
          <a:schemeClr val="accent5"/>
        </a:lnRef>
        <a:fillRef idx="3">
          <a:schemeClr val="accent5"/>
        </a:fillRef>
        <a:effectRef idx="3">
          <a:schemeClr val="accent5"/>
        </a:effectRef>
        <a:fontRef idx="minor">
          <a:schemeClr val="lt1"/>
        </a:fontRef>
      </xdr:style>
      <xdr:txBody>
        <a:bodyPr vertOverflow="clip" wrap="square" lIns="27432" tIns="22860" rIns="27432" bIns="22860" anchor="ctr" upright="1"/>
        <a:lstStyle/>
        <a:p>
          <a:pPr algn="ctr" rtl="1">
            <a:defRPr sz="1000"/>
          </a:pPr>
          <a:r>
            <a:rPr lang="en-US" sz="1200" b="1" i="0" strike="noStrike">
              <a:solidFill>
                <a:srgbClr val="002060"/>
              </a:solidFill>
              <a:effectLst>
                <a:outerShdw blurRad="50800" dist="38100" dir="5400000" algn="t" rotWithShape="0">
                  <a:prstClr val="black">
                    <a:alpha val="40000"/>
                  </a:prstClr>
                </a:outerShdw>
              </a:effectLst>
              <a:latin typeface="Arial"/>
              <a:cs typeface="Arial"/>
            </a:rPr>
            <a:t>SIP - COST</a:t>
          </a:r>
          <a:r>
            <a:rPr lang="en-US" sz="1200" b="1" i="0" strike="noStrike" baseline="0">
              <a:solidFill>
                <a:srgbClr val="002060"/>
              </a:solidFill>
              <a:effectLst>
                <a:outerShdw blurRad="50800" dist="38100" dir="5400000" algn="t" rotWithShape="0">
                  <a:prstClr val="black">
                    <a:alpha val="40000"/>
                  </a:prstClr>
                </a:outerShdw>
              </a:effectLst>
              <a:latin typeface="Arial"/>
              <a:cs typeface="Arial"/>
            </a:rPr>
            <a:t> OF DELAYING </a:t>
          </a:r>
          <a:endParaRPr lang="en-US" sz="1200" b="1" i="0" strike="noStrike">
            <a:solidFill>
              <a:srgbClr val="002060"/>
            </a:solidFill>
            <a:effectLst>
              <a:outerShdw blurRad="50800" dist="38100" dir="5400000" algn="t" rotWithShape="0">
                <a:prstClr val="black">
                  <a:alpha val="40000"/>
                </a:prstClr>
              </a:outerShdw>
            </a:effectLst>
            <a:latin typeface="Arial"/>
            <a:cs typeface="Arial"/>
          </a:endParaRPr>
        </a:p>
      </xdr:txBody>
    </xdr:sp>
    <xdr:clientData/>
  </xdr:twoCellAnchor>
  <xdr:twoCellAnchor>
    <xdr:from>
      <xdr:col>6</xdr:col>
      <xdr:colOff>326429</xdr:colOff>
      <xdr:row>14</xdr:row>
      <xdr:rowOff>32828</xdr:rowOff>
    </xdr:from>
    <xdr:to>
      <xdr:col>9</xdr:col>
      <xdr:colOff>442050</xdr:colOff>
      <xdr:row>17</xdr:row>
      <xdr:rowOff>152416</xdr:rowOff>
    </xdr:to>
    <xdr:sp macro="" textlink="">
      <xdr:nvSpPr>
        <xdr:cNvPr id="8" name="Rectangle 7">
          <a:hlinkClick xmlns:r="http://schemas.openxmlformats.org/officeDocument/2006/relationships" r:id="rId4" tooltip="Retirement through SIP / SWP"/>
          <a:extLst>
            <a:ext uri="{FF2B5EF4-FFF2-40B4-BE49-F238E27FC236}">
              <a16:creationId xmlns:a16="http://schemas.microsoft.com/office/drawing/2014/main" id="{00000000-0008-0000-0000-000008000000}"/>
            </a:ext>
          </a:extLst>
        </xdr:cNvPr>
        <xdr:cNvSpPr>
          <a:spLocks noChangeArrowheads="1"/>
        </xdr:cNvSpPr>
      </xdr:nvSpPr>
      <xdr:spPr bwMode="auto">
        <a:xfrm>
          <a:off x="4184054" y="2263266"/>
          <a:ext cx="2044434" cy="595838"/>
        </a:xfrm>
        <a:prstGeom prst="rect">
          <a:avLst/>
        </a:prstGeom>
        <a:ln>
          <a:headEnd/>
          <a:tailEnd/>
        </a:ln>
      </xdr:spPr>
      <xdr:style>
        <a:lnRef idx="0">
          <a:schemeClr val="accent5"/>
        </a:lnRef>
        <a:fillRef idx="3">
          <a:schemeClr val="accent5"/>
        </a:fillRef>
        <a:effectRef idx="3">
          <a:schemeClr val="accent5"/>
        </a:effectRef>
        <a:fontRef idx="minor">
          <a:schemeClr val="lt1"/>
        </a:fontRef>
      </xdr:style>
      <xdr:txBody>
        <a:bodyPr vertOverflow="clip" wrap="square" lIns="27432" tIns="22860" rIns="27432" bIns="22860" anchor="ctr" upright="1"/>
        <a:lstStyle/>
        <a:p>
          <a:pPr algn="ctr" rtl="1">
            <a:defRPr sz="1000"/>
          </a:pPr>
          <a:r>
            <a:rPr lang="en-US" sz="1100" b="1" i="0" strike="noStrike">
              <a:solidFill>
                <a:srgbClr val="002060"/>
              </a:solidFill>
              <a:effectLst>
                <a:outerShdw blurRad="50800" dist="38100" dir="5400000" algn="t" rotWithShape="0">
                  <a:prstClr val="black">
                    <a:alpha val="40000"/>
                  </a:prstClr>
                </a:outerShdw>
              </a:effectLst>
              <a:latin typeface="Arial"/>
              <a:cs typeface="Arial"/>
            </a:rPr>
            <a:t>RETIREMENT</a:t>
          </a:r>
          <a:r>
            <a:rPr lang="en-US" sz="1100" b="1" i="0" strike="noStrike" baseline="0">
              <a:solidFill>
                <a:srgbClr val="002060"/>
              </a:solidFill>
              <a:effectLst>
                <a:outerShdw blurRad="50800" dist="38100" dir="5400000" algn="t" rotWithShape="0">
                  <a:prstClr val="black">
                    <a:alpha val="40000"/>
                  </a:prstClr>
                </a:outerShdw>
              </a:effectLst>
              <a:latin typeface="Arial"/>
              <a:cs typeface="Arial"/>
            </a:rPr>
            <a:t> PLANNING THROUGH SIP &amp; SWP</a:t>
          </a:r>
        </a:p>
      </xdr:txBody>
    </xdr:sp>
    <xdr:clientData/>
  </xdr:twoCellAnchor>
  <xdr:twoCellAnchor>
    <xdr:from>
      <xdr:col>6</xdr:col>
      <xdr:colOff>324051</xdr:colOff>
      <xdr:row>8</xdr:row>
      <xdr:rowOff>125676</xdr:rowOff>
    </xdr:from>
    <xdr:to>
      <xdr:col>9</xdr:col>
      <xdr:colOff>439672</xdr:colOff>
      <xdr:row>12</xdr:row>
      <xdr:rowOff>86514</xdr:rowOff>
    </xdr:to>
    <xdr:sp macro="" textlink="">
      <xdr:nvSpPr>
        <xdr:cNvPr id="9" name="Rectangle 8">
          <a:hlinkClick xmlns:r="http://schemas.openxmlformats.org/officeDocument/2006/relationships" r:id="rId5" tooltip="SWP - Regular Income Generation"/>
          <a:extLst>
            <a:ext uri="{FF2B5EF4-FFF2-40B4-BE49-F238E27FC236}">
              <a16:creationId xmlns:a16="http://schemas.microsoft.com/office/drawing/2014/main" id="{00000000-0008-0000-0000-000009000000}"/>
            </a:ext>
          </a:extLst>
        </xdr:cNvPr>
        <xdr:cNvSpPr>
          <a:spLocks noChangeArrowheads="1"/>
        </xdr:cNvSpPr>
      </xdr:nvSpPr>
      <xdr:spPr bwMode="auto">
        <a:xfrm>
          <a:off x="4095951" y="1382976"/>
          <a:ext cx="2001571" cy="589488"/>
        </a:xfrm>
        <a:prstGeom prst="rect">
          <a:avLst/>
        </a:prstGeom>
        <a:ln>
          <a:headEnd/>
          <a:tailEnd/>
        </a:ln>
      </xdr:spPr>
      <xdr:style>
        <a:lnRef idx="0">
          <a:schemeClr val="accent5"/>
        </a:lnRef>
        <a:fillRef idx="3">
          <a:schemeClr val="accent5"/>
        </a:fillRef>
        <a:effectRef idx="3">
          <a:schemeClr val="accent5"/>
        </a:effectRef>
        <a:fontRef idx="minor">
          <a:schemeClr val="lt1"/>
        </a:fontRef>
      </xdr:style>
      <xdr:txBody>
        <a:bodyPr vertOverflow="clip" wrap="square" lIns="27432" tIns="22860" rIns="27432" bIns="22860" anchor="ctr" upright="1"/>
        <a:lstStyle/>
        <a:p>
          <a:pPr algn="ctr" rtl="1">
            <a:defRPr sz="1000"/>
          </a:pPr>
          <a:r>
            <a:rPr lang="en-US" sz="1200" b="1" i="0" strike="noStrike">
              <a:solidFill>
                <a:srgbClr val="002060"/>
              </a:solidFill>
              <a:effectLst>
                <a:outerShdw blurRad="50800" dist="38100" dir="5400000" algn="t" rotWithShape="0">
                  <a:prstClr val="black">
                    <a:alpha val="40000"/>
                  </a:prstClr>
                </a:outerShdw>
              </a:effectLst>
              <a:latin typeface="Arial"/>
              <a:cs typeface="Arial"/>
            </a:rPr>
            <a:t>SWP</a:t>
          </a:r>
          <a:r>
            <a:rPr lang="en-US" sz="1200" b="1" i="0" strike="noStrike" baseline="0">
              <a:solidFill>
                <a:srgbClr val="002060"/>
              </a:solidFill>
              <a:effectLst>
                <a:outerShdw blurRad="50800" dist="38100" dir="5400000" algn="t" rotWithShape="0">
                  <a:prstClr val="black">
                    <a:alpha val="40000"/>
                  </a:prstClr>
                </a:outerShdw>
              </a:effectLst>
              <a:latin typeface="Arial"/>
              <a:cs typeface="Arial"/>
            </a:rPr>
            <a:t> - REGULAR INCOME GENERATION</a:t>
          </a:r>
          <a:endParaRPr lang="en-US" sz="1200" b="1" i="0" strike="noStrike">
            <a:solidFill>
              <a:srgbClr val="002060"/>
            </a:solidFill>
            <a:effectLst>
              <a:outerShdw blurRad="50800" dist="38100" dir="5400000" algn="t" rotWithShape="0">
                <a:prstClr val="black">
                  <a:alpha val="40000"/>
                </a:prstClr>
              </a:outerShdw>
            </a:effectLst>
            <a:latin typeface="Arial"/>
            <a:cs typeface="Arial"/>
          </a:endParaRPr>
        </a:p>
      </xdr:txBody>
    </xdr:sp>
    <xdr:clientData/>
  </xdr:twoCellAnchor>
  <xdr:twoCellAnchor>
    <xdr:from>
      <xdr:col>6</xdr:col>
      <xdr:colOff>325637</xdr:colOff>
      <xdr:row>19</xdr:row>
      <xdr:rowOff>59787</xdr:rowOff>
    </xdr:from>
    <xdr:to>
      <xdr:col>9</xdr:col>
      <xdr:colOff>441258</xdr:colOff>
      <xdr:row>23</xdr:row>
      <xdr:rowOff>20625</xdr:rowOff>
    </xdr:to>
    <xdr:sp macro="" textlink="">
      <xdr:nvSpPr>
        <xdr:cNvPr id="10" name="Rectangle 9">
          <a:hlinkClick xmlns:r="http://schemas.openxmlformats.org/officeDocument/2006/relationships" r:id="rId6" tooltip="MF CAPITAL GAIN"/>
          <a:extLst>
            <a:ext uri="{FF2B5EF4-FFF2-40B4-BE49-F238E27FC236}">
              <a16:creationId xmlns:a16="http://schemas.microsoft.com/office/drawing/2014/main" id="{00000000-0008-0000-0000-00000A000000}"/>
            </a:ext>
          </a:extLst>
        </xdr:cNvPr>
        <xdr:cNvSpPr>
          <a:spLocks noChangeArrowheads="1"/>
        </xdr:cNvSpPr>
      </xdr:nvSpPr>
      <xdr:spPr bwMode="auto">
        <a:xfrm>
          <a:off x="4183262" y="3083975"/>
          <a:ext cx="2044434" cy="595838"/>
        </a:xfrm>
        <a:prstGeom prst="rect">
          <a:avLst/>
        </a:prstGeom>
        <a:ln>
          <a:headEnd/>
          <a:tailEnd/>
        </a:ln>
      </xdr:spPr>
      <xdr:style>
        <a:lnRef idx="0">
          <a:schemeClr val="accent5"/>
        </a:lnRef>
        <a:fillRef idx="3">
          <a:schemeClr val="accent5"/>
        </a:fillRef>
        <a:effectRef idx="3">
          <a:schemeClr val="accent5"/>
        </a:effectRef>
        <a:fontRef idx="minor">
          <a:schemeClr val="lt1"/>
        </a:fontRef>
      </xdr:style>
      <xdr:txBody>
        <a:bodyPr vertOverflow="clip" wrap="square" lIns="27432" tIns="22860" rIns="27432" bIns="22860" anchor="ctr" upright="1"/>
        <a:lstStyle/>
        <a:p>
          <a:pPr algn="ctr" rtl="1">
            <a:defRPr sz="1000"/>
          </a:pPr>
          <a:r>
            <a:rPr lang="en-US" sz="1200" b="1" i="0" strike="noStrike">
              <a:solidFill>
                <a:srgbClr val="002060"/>
              </a:solidFill>
              <a:effectLst>
                <a:outerShdw blurRad="50800" dist="38100" dir="5400000" algn="t" rotWithShape="0">
                  <a:prstClr val="black">
                    <a:alpha val="40000"/>
                  </a:prstClr>
                </a:outerShdw>
              </a:effectLst>
              <a:latin typeface="Arial"/>
              <a:cs typeface="Arial"/>
            </a:rPr>
            <a:t>MF CAPITAL GAIN</a:t>
          </a:r>
        </a:p>
      </xdr:txBody>
    </xdr:sp>
    <xdr:clientData/>
  </xdr:twoCellAnchor>
  <xdr:twoCellAnchor>
    <xdr:from>
      <xdr:col>11</xdr:col>
      <xdr:colOff>502575</xdr:colOff>
      <xdr:row>14</xdr:row>
      <xdr:rowOff>24077</xdr:rowOff>
    </xdr:from>
    <xdr:to>
      <xdr:col>14</xdr:col>
      <xdr:colOff>618195</xdr:colOff>
      <xdr:row>18</xdr:row>
      <xdr:rowOff>791</xdr:rowOff>
    </xdr:to>
    <xdr:sp macro="" textlink="">
      <xdr:nvSpPr>
        <xdr:cNvPr id="11" name="Rectangle 10">
          <a:hlinkClick xmlns:r="http://schemas.openxmlformats.org/officeDocument/2006/relationships" r:id="rId7" tooltip="Financial Plan"/>
          <a:extLst>
            <a:ext uri="{FF2B5EF4-FFF2-40B4-BE49-F238E27FC236}">
              <a16:creationId xmlns:a16="http://schemas.microsoft.com/office/drawing/2014/main" id="{00000000-0008-0000-0000-00000B000000}"/>
            </a:ext>
          </a:extLst>
        </xdr:cNvPr>
        <xdr:cNvSpPr>
          <a:spLocks noChangeArrowheads="1"/>
        </xdr:cNvSpPr>
      </xdr:nvSpPr>
      <xdr:spPr bwMode="auto">
        <a:xfrm>
          <a:off x="7417725" y="2224352"/>
          <a:ext cx="2001570" cy="605364"/>
        </a:xfrm>
        <a:prstGeom prst="rect">
          <a:avLst/>
        </a:prstGeom>
        <a:ln>
          <a:headEnd/>
          <a:tailEnd/>
        </a:ln>
      </xdr:spPr>
      <xdr:style>
        <a:lnRef idx="0">
          <a:schemeClr val="accent5"/>
        </a:lnRef>
        <a:fillRef idx="3">
          <a:schemeClr val="accent5"/>
        </a:fillRef>
        <a:effectRef idx="3">
          <a:schemeClr val="accent5"/>
        </a:effectRef>
        <a:fontRef idx="minor">
          <a:schemeClr val="lt1"/>
        </a:fontRef>
      </xdr:style>
      <xdr:txBody>
        <a:bodyPr vertOverflow="clip" wrap="square" lIns="27432" tIns="22860" rIns="27432" bIns="22860" anchor="ctr" upright="1"/>
        <a:lstStyle/>
        <a:p>
          <a:pPr algn="ctr" rtl="1">
            <a:defRPr sz="1000"/>
          </a:pPr>
          <a:r>
            <a:rPr lang="en-US" sz="1200" b="1" i="0" strike="noStrike">
              <a:solidFill>
                <a:srgbClr val="002060"/>
              </a:solidFill>
              <a:effectLst>
                <a:outerShdw blurRad="50800" dist="38100" dir="5400000" algn="t" rotWithShape="0">
                  <a:prstClr val="black">
                    <a:alpha val="40000"/>
                  </a:prstClr>
                </a:outerShdw>
              </a:effectLst>
              <a:latin typeface="Arial"/>
              <a:cs typeface="Arial"/>
            </a:rPr>
            <a:t>FINANCIAL</a:t>
          </a:r>
          <a:r>
            <a:rPr lang="en-US" sz="1200" b="1" i="0" strike="noStrike" baseline="0">
              <a:solidFill>
                <a:srgbClr val="002060"/>
              </a:solidFill>
              <a:effectLst>
                <a:outerShdw blurRad="50800" dist="38100" dir="5400000" algn="t" rotWithShape="0">
                  <a:prstClr val="black">
                    <a:alpha val="40000"/>
                  </a:prstClr>
                </a:outerShdw>
              </a:effectLst>
              <a:latin typeface="Arial"/>
              <a:cs typeface="Arial"/>
            </a:rPr>
            <a:t> PLANNING</a:t>
          </a:r>
          <a:endParaRPr lang="en-US" sz="1200" b="1" i="0" strike="noStrike">
            <a:solidFill>
              <a:srgbClr val="002060"/>
            </a:solidFill>
            <a:effectLst>
              <a:outerShdw blurRad="50800" dist="38100" dir="5400000" algn="t" rotWithShape="0">
                <a:prstClr val="black">
                  <a:alpha val="40000"/>
                </a:prstClr>
              </a:outerShdw>
            </a:effectLst>
            <a:latin typeface="Arial"/>
            <a:cs typeface="Arial"/>
          </a:endParaRPr>
        </a:p>
      </xdr:txBody>
    </xdr:sp>
    <xdr:clientData/>
  </xdr:twoCellAnchor>
  <xdr:twoCellAnchor editAs="oneCell">
    <xdr:from>
      <xdr:col>2</xdr:col>
      <xdr:colOff>476250</xdr:colOff>
      <xdr:row>0</xdr:row>
      <xdr:rowOff>123825</xdr:rowOff>
    </xdr:from>
    <xdr:to>
      <xdr:col>4</xdr:col>
      <xdr:colOff>152400</xdr:colOff>
      <xdr:row>6</xdr:row>
      <xdr:rowOff>76200</xdr:rowOff>
    </xdr:to>
    <xdr:pic>
      <xdr:nvPicPr>
        <xdr:cNvPr id="13184" name="Picture 27" descr="emPower symbol.gif">
          <a:extLst>
            <a:ext uri="{FF2B5EF4-FFF2-40B4-BE49-F238E27FC236}">
              <a16:creationId xmlns:a16="http://schemas.microsoft.com/office/drawing/2014/main" id="{00000000-0008-0000-0000-000080330000}"/>
            </a:ext>
          </a:extLst>
        </xdr:cNvPr>
        <xdr:cNvPicPr>
          <a:picLocks noChangeAspect="1"/>
        </xdr:cNvPicPr>
      </xdr:nvPicPr>
      <xdr:blipFill>
        <a:blip xmlns:r="http://schemas.openxmlformats.org/officeDocument/2006/relationships" r:embed="rId8" cstate="print">
          <a:extLst>
            <a:ext uri="{28A0092B-C50C-407E-A947-70E740481C1C}">
              <a14:useLocalDpi xmlns:a14="http://schemas.microsoft.com/office/drawing/2010/main" val="0"/>
            </a:ext>
          </a:extLst>
        </a:blip>
        <a:srcRect/>
        <a:stretch>
          <a:fillRect/>
        </a:stretch>
      </xdr:blipFill>
      <xdr:spPr bwMode="auto">
        <a:xfrm>
          <a:off x="1695450" y="123825"/>
          <a:ext cx="89535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352425</xdr:colOff>
      <xdr:row>0</xdr:row>
      <xdr:rowOff>123825</xdr:rowOff>
    </xdr:from>
    <xdr:to>
      <xdr:col>13</xdr:col>
      <xdr:colOff>28575</xdr:colOff>
      <xdr:row>6</xdr:row>
      <xdr:rowOff>66675</xdr:rowOff>
    </xdr:to>
    <xdr:pic>
      <xdr:nvPicPr>
        <xdr:cNvPr id="13185" name="Picture 28" descr="emPower symbol.gif">
          <a:extLst>
            <a:ext uri="{FF2B5EF4-FFF2-40B4-BE49-F238E27FC236}">
              <a16:creationId xmlns:a16="http://schemas.microsoft.com/office/drawing/2014/main" id="{00000000-0008-0000-0000-000081330000}"/>
            </a:ext>
          </a:extLst>
        </xdr:cNvPr>
        <xdr:cNvPicPr>
          <a:picLocks noChangeAspect="1"/>
        </xdr:cNvPicPr>
      </xdr:nvPicPr>
      <xdr:blipFill>
        <a:blip xmlns:r="http://schemas.openxmlformats.org/officeDocument/2006/relationships" r:embed="rId8" cstate="print">
          <a:extLst>
            <a:ext uri="{28A0092B-C50C-407E-A947-70E740481C1C}">
              <a14:useLocalDpi xmlns:a14="http://schemas.microsoft.com/office/drawing/2010/main" val="0"/>
            </a:ext>
          </a:extLst>
        </a:blip>
        <a:srcRect/>
        <a:stretch>
          <a:fillRect/>
        </a:stretch>
      </xdr:blipFill>
      <xdr:spPr bwMode="auto">
        <a:xfrm>
          <a:off x="7058025" y="123825"/>
          <a:ext cx="89535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13</xdr:col>
      <xdr:colOff>447675</xdr:colOff>
      <xdr:row>31</xdr:row>
      <xdr:rowOff>57150</xdr:rowOff>
    </xdr:from>
    <xdr:to>
      <xdr:col>16</xdr:col>
      <xdr:colOff>2381</xdr:colOff>
      <xdr:row>33</xdr:row>
      <xdr:rowOff>0</xdr:rowOff>
    </xdr:to>
    <xdr:pic>
      <xdr:nvPicPr>
        <xdr:cNvPr id="13186" name="Picture 242">
          <a:hlinkClick xmlns:r="http://schemas.openxmlformats.org/officeDocument/2006/relationships" r:id="rId9" tooltip="DISCLAIMER"/>
          <a:extLst>
            <a:ext uri="{FF2B5EF4-FFF2-40B4-BE49-F238E27FC236}">
              <a16:creationId xmlns:a16="http://schemas.microsoft.com/office/drawing/2014/main" id="{00000000-0008-0000-0000-000082330000}"/>
            </a:ext>
          </a:extLst>
        </xdr:cNvPr>
        <xdr:cNvPicPr>
          <a:picLocks noChangeAspect="1" noChangeArrowheads="1"/>
        </xdr:cNvPicPr>
      </xdr:nvPicPr>
      <xdr:blipFill>
        <a:blip xmlns:r="http://schemas.openxmlformats.org/officeDocument/2006/relationships" r:embed="rId10">
          <a:extLst>
            <a:ext uri="{28A0092B-C50C-407E-A947-70E740481C1C}">
              <a14:useLocalDpi xmlns:a14="http://schemas.microsoft.com/office/drawing/2010/main" val="0"/>
            </a:ext>
          </a:extLst>
        </a:blip>
        <a:srcRect/>
        <a:stretch>
          <a:fillRect/>
        </a:stretch>
      </xdr:blipFill>
      <xdr:spPr bwMode="auto">
        <a:xfrm>
          <a:off x="8372475" y="5076825"/>
          <a:ext cx="1381125" cy="609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11</xdr:col>
      <xdr:colOff>498623</xdr:colOff>
      <xdr:row>19</xdr:row>
      <xdr:rowOff>62183</xdr:rowOff>
    </xdr:from>
    <xdr:to>
      <xdr:col>14</xdr:col>
      <xdr:colOff>614243</xdr:colOff>
      <xdr:row>23</xdr:row>
      <xdr:rowOff>37309</xdr:rowOff>
    </xdr:to>
    <xdr:sp macro="" textlink="">
      <xdr:nvSpPr>
        <xdr:cNvPr id="18" name="Rectangle 17">
          <a:hlinkClick xmlns:r="http://schemas.openxmlformats.org/officeDocument/2006/relationships" r:id="rId11" tooltip="Other Calculators"/>
          <a:extLst>
            <a:ext uri="{FF2B5EF4-FFF2-40B4-BE49-F238E27FC236}">
              <a16:creationId xmlns:a16="http://schemas.microsoft.com/office/drawing/2014/main" id="{00000000-0008-0000-0000-000012000000}"/>
            </a:ext>
          </a:extLst>
        </xdr:cNvPr>
        <xdr:cNvSpPr>
          <a:spLocks noChangeArrowheads="1"/>
        </xdr:cNvSpPr>
      </xdr:nvSpPr>
      <xdr:spPr bwMode="auto">
        <a:xfrm>
          <a:off x="7570936" y="3086371"/>
          <a:ext cx="2044432" cy="610126"/>
        </a:xfrm>
        <a:prstGeom prst="rect">
          <a:avLst/>
        </a:prstGeom>
        <a:ln>
          <a:headEnd/>
          <a:tailEnd/>
        </a:ln>
      </xdr:spPr>
      <xdr:style>
        <a:lnRef idx="0">
          <a:schemeClr val="accent5"/>
        </a:lnRef>
        <a:fillRef idx="3">
          <a:schemeClr val="accent5"/>
        </a:fillRef>
        <a:effectRef idx="3">
          <a:schemeClr val="accent5"/>
        </a:effectRef>
        <a:fontRef idx="minor">
          <a:schemeClr val="lt1"/>
        </a:fontRef>
      </xdr:style>
      <xdr:txBody>
        <a:bodyPr vertOverflow="clip" wrap="square" lIns="27432" tIns="22860" rIns="27432" bIns="22860" anchor="ctr" upright="1"/>
        <a:lstStyle/>
        <a:p>
          <a:pPr algn="ctr" rtl="1">
            <a:defRPr sz="1000"/>
          </a:pPr>
          <a:r>
            <a:rPr lang="en-US" sz="1200" b="1" i="0" strike="noStrike">
              <a:solidFill>
                <a:srgbClr val="002060"/>
              </a:solidFill>
              <a:effectLst>
                <a:outerShdw blurRad="50800" dist="38100" dir="5400000" algn="t" rotWithShape="0">
                  <a:prstClr val="black">
                    <a:alpha val="40000"/>
                  </a:prstClr>
                </a:outerShdw>
              </a:effectLst>
              <a:latin typeface="Arial"/>
              <a:cs typeface="Arial"/>
            </a:rPr>
            <a:t>QUICK CALC</a:t>
          </a:r>
        </a:p>
      </xdr:txBody>
    </xdr:sp>
    <xdr:clientData/>
  </xdr:twoCellAnchor>
  <xdr:twoCellAnchor>
    <xdr:from>
      <xdr:col>1</xdr:col>
      <xdr:colOff>119325</xdr:colOff>
      <xdr:row>24</xdr:row>
      <xdr:rowOff>79619</xdr:rowOff>
    </xdr:from>
    <xdr:to>
      <xdr:col>4</xdr:col>
      <xdr:colOff>234946</xdr:colOff>
      <xdr:row>28</xdr:row>
      <xdr:rowOff>40457</xdr:rowOff>
    </xdr:to>
    <xdr:sp macro="" textlink="">
      <xdr:nvSpPr>
        <xdr:cNvPr id="17" name="Rectangle 16">
          <a:hlinkClick xmlns:r="http://schemas.openxmlformats.org/officeDocument/2006/relationships" r:id="rId12" tooltip="Taxation-Debt MF vs FD"/>
          <a:extLst>
            <a:ext uri="{FF2B5EF4-FFF2-40B4-BE49-F238E27FC236}">
              <a16:creationId xmlns:a16="http://schemas.microsoft.com/office/drawing/2014/main" id="{307B36DC-42F1-4371-B7F3-45F3BE17A7D0}"/>
            </a:ext>
          </a:extLst>
        </xdr:cNvPr>
        <xdr:cNvSpPr>
          <a:spLocks noChangeArrowheads="1"/>
        </xdr:cNvSpPr>
      </xdr:nvSpPr>
      <xdr:spPr bwMode="auto">
        <a:xfrm>
          <a:off x="726544" y="4080119"/>
          <a:ext cx="1937277" cy="627588"/>
        </a:xfrm>
        <a:prstGeom prst="rect">
          <a:avLst/>
        </a:prstGeom>
        <a:ln>
          <a:headEnd/>
          <a:tailEnd/>
        </a:ln>
      </xdr:spPr>
      <xdr:style>
        <a:lnRef idx="0">
          <a:schemeClr val="accent5"/>
        </a:lnRef>
        <a:fillRef idx="3">
          <a:schemeClr val="accent5"/>
        </a:fillRef>
        <a:effectRef idx="3">
          <a:schemeClr val="accent5"/>
        </a:effectRef>
        <a:fontRef idx="minor">
          <a:schemeClr val="lt1"/>
        </a:fontRef>
      </xdr:style>
      <xdr:txBody>
        <a:bodyPr vertOverflow="clip" wrap="square" lIns="27432" tIns="22860" rIns="27432" bIns="22860" anchor="ctr" upright="1"/>
        <a:lstStyle/>
        <a:p>
          <a:pPr algn="ctr" rtl="1">
            <a:defRPr sz="1000"/>
          </a:pPr>
          <a:r>
            <a:rPr lang="en-US" sz="1200" b="1" i="0" strike="noStrike">
              <a:solidFill>
                <a:srgbClr val="002060"/>
              </a:solidFill>
              <a:effectLst>
                <a:outerShdw blurRad="50800" dist="38100" dir="5400000" algn="t" rotWithShape="0">
                  <a:prstClr val="black">
                    <a:alpha val="40000"/>
                  </a:prstClr>
                </a:outerShdw>
              </a:effectLst>
              <a:latin typeface="Arial"/>
              <a:cs typeface="Arial"/>
            </a:rPr>
            <a:t>TAXATION - DEBT MF &amp;</a:t>
          </a:r>
          <a:r>
            <a:rPr lang="en-US" sz="1200" b="1" i="0" strike="noStrike" baseline="0">
              <a:solidFill>
                <a:srgbClr val="002060"/>
              </a:solidFill>
              <a:effectLst>
                <a:outerShdw blurRad="50800" dist="38100" dir="5400000" algn="t" rotWithShape="0">
                  <a:prstClr val="black">
                    <a:alpha val="40000"/>
                  </a:prstClr>
                </a:outerShdw>
              </a:effectLst>
              <a:latin typeface="Arial"/>
              <a:cs typeface="Arial"/>
            </a:rPr>
            <a:t> FD</a:t>
          </a:r>
          <a:endParaRPr lang="en-US" sz="1200" b="1" i="0" strike="noStrike">
            <a:solidFill>
              <a:srgbClr val="002060"/>
            </a:solidFill>
            <a:effectLst>
              <a:outerShdw blurRad="50800" dist="38100" dir="5400000" algn="t" rotWithShape="0">
                <a:prstClr val="black">
                  <a:alpha val="40000"/>
                </a:prstClr>
              </a:outerShdw>
            </a:effectLst>
            <a:latin typeface="Arial"/>
            <a:cs typeface="Arial"/>
          </a:endParaRPr>
        </a:p>
      </xdr:txBody>
    </xdr:sp>
    <xdr:clientData/>
  </xdr:twoCellAnchor>
  <xdr:twoCellAnchor>
    <xdr:from>
      <xdr:col>6</xdr:col>
      <xdr:colOff>327221</xdr:colOff>
      <xdr:row>24</xdr:row>
      <xdr:rowOff>93133</xdr:rowOff>
    </xdr:from>
    <xdr:to>
      <xdr:col>9</xdr:col>
      <xdr:colOff>442842</xdr:colOff>
      <xdr:row>28</xdr:row>
      <xdr:rowOff>53971</xdr:rowOff>
    </xdr:to>
    <xdr:sp macro="" textlink="">
      <xdr:nvSpPr>
        <xdr:cNvPr id="19" name="Rectangle 18">
          <a:hlinkClick xmlns:r="http://schemas.openxmlformats.org/officeDocument/2006/relationships" r:id="rId13" tooltip="SWP vs DIVIDEND PAYOUT - Tax Implications"/>
          <a:extLst>
            <a:ext uri="{FF2B5EF4-FFF2-40B4-BE49-F238E27FC236}">
              <a16:creationId xmlns:a16="http://schemas.microsoft.com/office/drawing/2014/main" id="{B999070E-2E2A-41C7-AF27-7574DB893C24}"/>
            </a:ext>
          </a:extLst>
        </xdr:cNvPr>
        <xdr:cNvSpPr>
          <a:spLocks noChangeArrowheads="1"/>
        </xdr:cNvSpPr>
      </xdr:nvSpPr>
      <xdr:spPr bwMode="auto">
        <a:xfrm>
          <a:off x="3970534" y="4093633"/>
          <a:ext cx="1937277" cy="627588"/>
        </a:xfrm>
        <a:prstGeom prst="rect">
          <a:avLst/>
        </a:prstGeom>
        <a:ln>
          <a:headEnd/>
          <a:tailEnd/>
        </a:ln>
      </xdr:spPr>
      <xdr:style>
        <a:lnRef idx="0">
          <a:schemeClr val="accent5"/>
        </a:lnRef>
        <a:fillRef idx="3">
          <a:schemeClr val="accent5"/>
        </a:fillRef>
        <a:effectRef idx="3">
          <a:schemeClr val="accent5"/>
        </a:effectRef>
        <a:fontRef idx="minor">
          <a:schemeClr val="lt1"/>
        </a:fontRef>
      </xdr:style>
      <xdr:txBody>
        <a:bodyPr vertOverflow="clip" wrap="square" lIns="27432" tIns="22860" rIns="27432" bIns="22860" anchor="ctr" upright="1"/>
        <a:lstStyle/>
        <a:p>
          <a:pPr algn="ctr" rtl="1">
            <a:defRPr sz="1000"/>
          </a:pPr>
          <a:r>
            <a:rPr lang="en-US" sz="1200" b="1" i="0" strike="noStrike">
              <a:solidFill>
                <a:srgbClr val="002060"/>
              </a:solidFill>
              <a:effectLst>
                <a:outerShdw blurRad="50800" dist="38100" dir="5400000" algn="t" rotWithShape="0">
                  <a:prstClr val="black">
                    <a:alpha val="40000"/>
                  </a:prstClr>
                </a:outerShdw>
              </a:effectLst>
              <a:latin typeface="Arial"/>
              <a:cs typeface="Arial"/>
            </a:rPr>
            <a:t>SWP vs DIVIDEND PAYOUT -</a:t>
          </a:r>
          <a:r>
            <a:rPr lang="en-US" sz="1200" b="1" i="0" strike="noStrike" baseline="0">
              <a:solidFill>
                <a:srgbClr val="002060"/>
              </a:solidFill>
              <a:effectLst>
                <a:outerShdw blurRad="50800" dist="38100" dir="5400000" algn="t" rotWithShape="0">
                  <a:prstClr val="black">
                    <a:alpha val="40000"/>
                  </a:prstClr>
                </a:outerShdw>
              </a:effectLst>
              <a:latin typeface="Arial"/>
              <a:cs typeface="Arial"/>
            </a:rPr>
            <a:t> </a:t>
          </a:r>
          <a:r>
            <a:rPr lang="en-US" sz="1200" b="1" i="0" strike="noStrike">
              <a:solidFill>
                <a:srgbClr val="002060"/>
              </a:solidFill>
              <a:effectLst>
                <a:outerShdw blurRad="50800" dist="38100" dir="5400000" algn="t" rotWithShape="0">
                  <a:prstClr val="black">
                    <a:alpha val="40000"/>
                  </a:prstClr>
                </a:outerShdw>
              </a:effectLst>
              <a:latin typeface="Arial"/>
              <a:cs typeface="Arial"/>
            </a:rPr>
            <a:t>TAX IMPLICATIONS</a:t>
          </a:r>
        </a:p>
      </xdr:txBody>
    </xdr:sp>
    <xdr:clientData/>
  </xdr:twoCellAnchor>
  <xdr:twoCellAnchor>
    <xdr:from>
      <xdr:col>11</xdr:col>
      <xdr:colOff>500207</xdr:colOff>
      <xdr:row>24</xdr:row>
      <xdr:rowOff>95529</xdr:rowOff>
    </xdr:from>
    <xdr:to>
      <xdr:col>14</xdr:col>
      <xdr:colOff>615827</xdr:colOff>
      <xdr:row>28</xdr:row>
      <xdr:rowOff>70655</xdr:rowOff>
    </xdr:to>
    <xdr:sp macro="" textlink="">
      <xdr:nvSpPr>
        <xdr:cNvPr id="20" name="Rectangle 19">
          <a:hlinkClick xmlns:r="http://schemas.openxmlformats.org/officeDocument/2006/relationships" r:id="rId14" tooltip="SIP TOP-UP"/>
          <a:extLst>
            <a:ext uri="{FF2B5EF4-FFF2-40B4-BE49-F238E27FC236}">
              <a16:creationId xmlns:a16="http://schemas.microsoft.com/office/drawing/2014/main" id="{55181072-3F7A-4BA4-96D9-E2138C5EC2F3}"/>
            </a:ext>
          </a:extLst>
        </xdr:cNvPr>
        <xdr:cNvSpPr>
          <a:spLocks noChangeArrowheads="1"/>
        </xdr:cNvSpPr>
      </xdr:nvSpPr>
      <xdr:spPr bwMode="auto">
        <a:xfrm>
          <a:off x="7572520" y="3913467"/>
          <a:ext cx="2044432" cy="610126"/>
        </a:xfrm>
        <a:prstGeom prst="rect">
          <a:avLst/>
        </a:prstGeom>
        <a:ln>
          <a:headEnd/>
          <a:tailEnd/>
        </a:ln>
      </xdr:spPr>
      <xdr:style>
        <a:lnRef idx="0">
          <a:schemeClr val="accent5"/>
        </a:lnRef>
        <a:fillRef idx="3">
          <a:schemeClr val="accent5"/>
        </a:fillRef>
        <a:effectRef idx="3">
          <a:schemeClr val="accent5"/>
        </a:effectRef>
        <a:fontRef idx="minor">
          <a:schemeClr val="lt1"/>
        </a:fontRef>
      </xdr:style>
      <xdr:txBody>
        <a:bodyPr vertOverflow="clip" wrap="square" lIns="27432" tIns="22860" rIns="27432" bIns="22860" anchor="ctr" upright="1"/>
        <a:lstStyle/>
        <a:p>
          <a:pPr algn="ctr" rtl="1">
            <a:defRPr sz="1000"/>
          </a:pPr>
          <a:r>
            <a:rPr lang="en-US" sz="1200" b="1" i="0" strike="noStrike">
              <a:solidFill>
                <a:srgbClr val="002060"/>
              </a:solidFill>
              <a:effectLst>
                <a:outerShdw blurRad="50800" dist="38100" dir="5400000" algn="t" rotWithShape="0">
                  <a:prstClr val="black">
                    <a:alpha val="40000"/>
                  </a:prstClr>
                </a:outerShdw>
              </a:effectLst>
              <a:latin typeface="Arial"/>
              <a:cs typeface="Arial"/>
            </a:rPr>
            <a:t>SIP TOP-UP</a:t>
          </a:r>
        </a:p>
      </xdr:txBody>
    </xdr:sp>
    <xdr:clientData/>
  </xdr:twoCellAnchor>
  <xdr:twoCellAnchor>
    <xdr:from>
      <xdr:col>11</xdr:col>
      <xdr:colOff>502574</xdr:colOff>
      <xdr:row>8</xdr:row>
      <xdr:rowOff>125676</xdr:rowOff>
    </xdr:from>
    <xdr:to>
      <xdr:col>14</xdr:col>
      <xdr:colOff>618195</xdr:colOff>
      <xdr:row>12</xdr:row>
      <xdr:rowOff>86514</xdr:rowOff>
    </xdr:to>
    <xdr:sp macro="" textlink="">
      <xdr:nvSpPr>
        <xdr:cNvPr id="21" name="Rectangle 20">
          <a:hlinkClick xmlns:r="http://schemas.openxmlformats.org/officeDocument/2006/relationships" r:id="rId15" tooltip="SWP vs INTEREST PAYOUT - Tax Implications"/>
          <a:extLst>
            <a:ext uri="{FF2B5EF4-FFF2-40B4-BE49-F238E27FC236}">
              <a16:creationId xmlns:a16="http://schemas.microsoft.com/office/drawing/2014/main" id="{88ED6B20-0B53-493E-8E85-9C530F4FF5D6}"/>
            </a:ext>
          </a:extLst>
        </xdr:cNvPr>
        <xdr:cNvSpPr>
          <a:spLocks noChangeArrowheads="1"/>
        </xdr:cNvSpPr>
      </xdr:nvSpPr>
      <xdr:spPr bwMode="auto">
        <a:xfrm>
          <a:off x="7417724" y="1382976"/>
          <a:ext cx="2001571" cy="589488"/>
        </a:xfrm>
        <a:prstGeom prst="rect">
          <a:avLst/>
        </a:prstGeom>
        <a:ln>
          <a:headEnd/>
          <a:tailEnd/>
        </a:ln>
      </xdr:spPr>
      <xdr:style>
        <a:lnRef idx="0">
          <a:schemeClr val="accent5"/>
        </a:lnRef>
        <a:fillRef idx="3">
          <a:schemeClr val="accent5"/>
        </a:fillRef>
        <a:effectRef idx="3">
          <a:schemeClr val="accent5"/>
        </a:effectRef>
        <a:fontRef idx="minor">
          <a:schemeClr val="lt1"/>
        </a:fontRef>
      </xdr:style>
      <xdr:txBody>
        <a:bodyPr vertOverflow="clip" wrap="square" lIns="27432" tIns="22860" rIns="27432" bIns="22860" anchor="ctr" upright="1"/>
        <a:lstStyle/>
        <a:p>
          <a:pPr algn="ctr" rtl="1">
            <a:defRPr sz="1000"/>
          </a:pPr>
          <a:r>
            <a:rPr lang="en-US" sz="1200" b="1" i="0" strike="noStrike">
              <a:solidFill>
                <a:srgbClr val="002060"/>
              </a:solidFill>
              <a:effectLst>
                <a:outerShdw blurRad="50800" dist="38100" dir="5400000" algn="t" rotWithShape="0">
                  <a:prstClr val="black">
                    <a:alpha val="40000"/>
                  </a:prstClr>
                </a:outerShdw>
              </a:effectLst>
              <a:latin typeface="Arial"/>
              <a:cs typeface="Arial"/>
            </a:rPr>
            <a:t>SWP vs INTEREST</a:t>
          </a:r>
          <a:r>
            <a:rPr lang="en-US" sz="1200" b="1" i="0" strike="noStrike" baseline="0">
              <a:solidFill>
                <a:srgbClr val="002060"/>
              </a:solidFill>
              <a:effectLst>
                <a:outerShdw blurRad="50800" dist="38100" dir="5400000" algn="t" rotWithShape="0">
                  <a:prstClr val="black">
                    <a:alpha val="40000"/>
                  </a:prstClr>
                </a:outerShdw>
              </a:effectLst>
              <a:latin typeface="Arial"/>
              <a:cs typeface="Arial"/>
            </a:rPr>
            <a:t> P</a:t>
          </a:r>
          <a:r>
            <a:rPr lang="en-US" sz="1200" b="1" i="0" strike="noStrike">
              <a:solidFill>
                <a:srgbClr val="002060"/>
              </a:solidFill>
              <a:effectLst>
                <a:outerShdw blurRad="50800" dist="38100" dir="5400000" algn="t" rotWithShape="0">
                  <a:prstClr val="black">
                    <a:alpha val="40000"/>
                  </a:prstClr>
                </a:outerShdw>
              </a:effectLst>
              <a:latin typeface="Arial"/>
              <a:cs typeface="Arial"/>
            </a:rPr>
            <a:t>AYOUT -</a:t>
          </a:r>
          <a:r>
            <a:rPr lang="en-US" sz="1200" b="1" i="0" strike="noStrike" baseline="0">
              <a:solidFill>
                <a:srgbClr val="002060"/>
              </a:solidFill>
              <a:effectLst>
                <a:outerShdw blurRad="50800" dist="38100" dir="5400000" algn="t" rotWithShape="0">
                  <a:prstClr val="black">
                    <a:alpha val="40000"/>
                  </a:prstClr>
                </a:outerShdw>
              </a:effectLst>
              <a:latin typeface="Arial"/>
              <a:cs typeface="Arial"/>
            </a:rPr>
            <a:t> </a:t>
          </a:r>
          <a:r>
            <a:rPr lang="en-US" sz="1200" b="1" i="0" strike="noStrike">
              <a:solidFill>
                <a:srgbClr val="002060"/>
              </a:solidFill>
              <a:effectLst>
                <a:outerShdw blurRad="50800" dist="38100" dir="5400000" algn="t" rotWithShape="0">
                  <a:prstClr val="black">
                    <a:alpha val="40000"/>
                  </a:prstClr>
                </a:outerShdw>
              </a:effectLst>
              <a:latin typeface="Arial"/>
              <a:cs typeface="Arial"/>
            </a:rPr>
            <a:t>TAX IMPLICATIONS</a:t>
          </a:r>
        </a:p>
      </xdr:txBody>
    </xdr:sp>
    <xdr:clientData/>
  </xdr:twoCellAnchor>
  <xdr:twoCellAnchor editAs="oneCell">
    <xdr:from>
      <xdr:col>0</xdr:col>
      <xdr:colOff>0</xdr:colOff>
      <xdr:row>0</xdr:row>
      <xdr:rowOff>95250</xdr:rowOff>
    </xdr:from>
    <xdr:to>
      <xdr:col>15</xdr:col>
      <xdr:colOff>595313</xdr:colOff>
      <xdr:row>6</xdr:row>
      <xdr:rowOff>107156</xdr:rowOff>
    </xdr:to>
    <xdr:pic>
      <xdr:nvPicPr>
        <xdr:cNvPr id="4" name="Picture 3">
          <a:extLst>
            <a:ext uri="{FF2B5EF4-FFF2-40B4-BE49-F238E27FC236}">
              <a16:creationId xmlns:a16="http://schemas.microsoft.com/office/drawing/2014/main" id="{292395E5-8E8E-43EA-9E23-F0F8691B7C7B}"/>
            </a:ext>
          </a:extLst>
        </xdr:cNvPr>
        <xdr:cNvPicPr>
          <a:picLocks noChangeAspect="1"/>
        </xdr:cNvPicPr>
      </xdr:nvPicPr>
      <xdr:blipFill>
        <a:blip xmlns:r="http://schemas.openxmlformats.org/officeDocument/2006/relationships" r:embed="rId16">
          <a:extLst>
            <a:ext uri="{28A0092B-C50C-407E-A947-70E740481C1C}">
              <a14:useLocalDpi xmlns:a14="http://schemas.microsoft.com/office/drawing/2010/main" val="0"/>
            </a:ext>
          </a:extLst>
        </a:blip>
        <a:stretch>
          <a:fillRect/>
        </a:stretch>
      </xdr:blipFill>
      <xdr:spPr>
        <a:xfrm>
          <a:off x="0" y="95250"/>
          <a:ext cx="9703594" cy="1012031"/>
        </a:xfrm>
        <a:prstGeom prst="roundRect">
          <a:avLst>
            <a:gd name="adj" fmla="val 16667"/>
          </a:avLst>
        </a:prstGeom>
        <a:ln>
          <a:noFill/>
        </a:ln>
        <a:effectLst>
          <a:outerShdw blurRad="76200" dist="38100" dir="7800000" algn="tl" rotWithShape="0">
            <a:srgbClr val="000000">
              <a:alpha val="40000"/>
            </a:srgbClr>
          </a:outerShdw>
        </a:effectLst>
        <a:scene3d>
          <a:camera prst="orthographicFront"/>
          <a:lightRig rig="contrasting" dir="t">
            <a:rot lat="0" lon="0" rev="4200000"/>
          </a:lightRig>
        </a:scene3d>
        <a:sp3d prstMaterial="plastic">
          <a:bevelT w="381000" h="114300" prst="relaxedInset"/>
          <a:contourClr>
            <a:srgbClr val="969696"/>
          </a:contourClr>
        </a:sp3d>
      </xdr:spPr>
    </xdr:pic>
    <xdr:clientData/>
  </xdr:twoCellAnchor>
  <xdr:twoCellAnchor>
    <xdr:from>
      <xdr:col>12</xdr:col>
      <xdr:colOff>345281</xdr:colOff>
      <xdr:row>1</xdr:row>
      <xdr:rowOff>0</xdr:rowOff>
    </xdr:from>
    <xdr:to>
      <xdr:col>15</xdr:col>
      <xdr:colOff>416719</xdr:colOff>
      <xdr:row>6</xdr:row>
      <xdr:rowOff>59531</xdr:rowOff>
    </xdr:to>
    <xdr:sp macro="" textlink="">
      <xdr:nvSpPr>
        <xdr:cNvPr id="14" name="Oval 13">
          <a:extLst>
            <a:ext uri="{FF2B5EF4-FFF2-40B4-BE49-F238E27FC236}">
              <a16:creationId xmlns:a16="http://schemas.microsoft.com/office/drawing/2014/main" id="{173204EE-262B-407D-BFB1-A883051B55E0}"/>
            </a:ext>
          </a:extLst>
        </xdr:cNvPr>
        <xdr:cNvSpPr/>
      </xdr:nvSpPr>
      <xdr:spPr bwMode="auto">
        <a:xfrm>
          <a:off x="7631906" y="166688"/>
          <a:ext cx="1893094" cy="892968"/>
        </a:xfrm>
        <a:prstGeom prst="ellipse">
          <a:avLst/>
        </a:prstGeom>
        <a:solidFill>
          <a:schemeClr val="accent5">
            <a:lumMod val="60000"/>
            <a:lumOff val="40000"/>
          </a:schemeClr>
        </a:solidFill>
        <a:ln>
          <a:solidFill>
            <a:schemeClr val="accent5">
              <a:lumMod val="50000"/>
            </a:schemeClr>
          </a:solidFill>
          <a:headEnd type="none" w="med" len="med"/>
          <a:tailEnd type="none" w="med" len="med"/>
        </a:ln>
      </xdr:spPr>
      <xdr:style>
        <a:lnRef idx="2">
          <a:schemeClr val="accent1"/>
        </a:lnRef>
        <a:fillRef idx="1">
          <a:schemeClr val="lt1"/>
        </a:fillRef>
        <a:effectRef idx="0">
          <a:schemeClr val="accent1"/>
        </a:effectRef>
        <a:fontRef idx="minor">
          <a:schemeClr val="dk1"/>
        </a:fontRef>
      </xdr:style>
      <xdr:txBody>
        <a:bodyPr vertOverflow="clip" wrap="square" lIns="18288" tIns="0" rIns="0" bIns="0" rtlCol="0" anchor="ctr" upright="1"/>
        <a:lstStyle/>
        <a:p>
          <a:pPr algn="l"/>
          <a:endParaRPr lang="en-IN" sz="1100"/>
        </a:p>
      </xdr:txBody>
    </xdr:sp>
    <xdr:clientData/>
  </xdr:twoCellAnchor>
  <xdr:twoCellAnchor editAs="oneCell">
    <xdr:from>
      <xdr:col>13</xdr:col>
      <xdr:colOff>297657</xdr:colOff>
      <xdr:row>1</xdr:row>
      <xdr:rowOff>59531</xdr:rowOff>
    </xdr:from>
    <xdr:to>
      <xdr:col>15</xdr:col>
      <xdr:colOff>7274</xdr:colOff>
      <xdr:row>5</xdr:row>
      <xdr:rowOff>78677</xdr:rowOff>
    </xdr:to>
    <xdr:pic>
      <xdr:nvPicPr>
        <xdr:cNvPr id="13" name="Picture 12">
          <a:extLst>
            <a:ext uri="{FF2B5EF4-FFF2-40B4-BE49-F238E27FC236}">
              <a16:creationId xmlns:a16="http://schemas.microsoft.com/office/drawing/2014/main" id="{72AB3E82-442C-4576-A7A7-AA03D56B9CD6}"/>
            </a:ext>
          </a:extLst>
        </xdr:cNvPr>
        <xdr:cNvPicPr>
          <a:picLocks noChangeAspect="1"/>
        </xdr:cNvPicPr>
      </xdr:nvPicPr>
      <xdr:blipFill>
        <a:blip xmlns:r="http://schemas.openxmlformats.org/officeDocument/2006/relationships" r:embed="rId17">
          <a:extLst>
            <a:ext uri="{28A0092B-C50C-407E-A947-70E740481C1C}">
              <a14:useLocalDpi xmlns:a14="http://schemas.microsoft.com/office/drawing/2010/main" val="0"/>
            </a:ext>
          </a:extLst>
        </a:blip>
        <a:stretch>
          <a:fillRect/>
        </a:stretch>
      </xdr:blipFill>
      <xdr:spPr>
        <a:xfrm>
          <a:off x="8191501" y="226219"/>
          <a:ext cx="924054" cy="685896"/>
        </a:xfrm>
        <a:prstGeom prst="rect">
          <a:avLst/>
        </a:prstGeom>
      </xdr:spPr>
    </xdr:pic>
    <xdr:clientData/>
  </xdr:twoCellAnchor>
  <xdr:twoCellAnchor>
    <xdr:from>
      <xdr:col>0</xdr:col>
      <xdr:colOff>235744</xdr:colOff>
      <xdr:row>0</xdr:row>
      <xdr:rowOff>164307</xdr:rowOff>
    </xdr:from>
    <xdr:to>
      <xdr:col>3</xdr:col>
      <xdr:colOff>307182</xdr:colOff>
      <xdr:row>6</xdr:row>
      <xdr:rowOff>57150</xdr:rowOff>
    </xdr:to>
    <xdr:sp macro="" textlink="">
      <xdr:nvSpPr>
        <xdr:cNvPr id="24" name="Oval 23">
          <a:extLst>
            <a:ext uri="{FF2B5EF4-FFF2-40B4-BE49-F238E27FC236}">
              <a16:creationId xmlns:a16="http://schemas.microsoft.com/office/drawing/2014/main" id="{B08CEEFD-9A08-4F7D-A1D2-8941F216B6B2}"/>
            </a:ext>
          </a:extLst>
        </xdr:cNvPr>
        <xdr:cNvSpPr/>
      </xdr:nvSpPr>
      <xdr:spPr bwMode="auto">
        <a:xfrm>
          <a:off x="235744" y="164307"/>
          <a:ext cx="1893094" cy="892968"/>
        </a:xfrm>
        <a:prstGeom prst="ellipse">
          <a:avLst/>
        </a:prstGeom>
        <a:solidFill>
          <a:schemeClr val="accent5">
            <a:lumMod val="60000"/>
            <a:lumOff val="40000"/>
          </a:schemeClr>
        </a:solidFill>
        <a:ln>
          <a:solidFill>
            <a:schemeClr val="accent5">
              <a:lumMod val="50000"/>
            </a:schemeClr>
          </a:solidFill>
          <a:headEnd type="none" w="med" len="med"/>
          <a:tailEnd type="none" w="med" len="med"/>
        </a:ln>
      </xdr:spPr>
      <xdr:style>
        <a:lnRef idx="2">
          <a:schemeClr val="accent1"/>
        </a:lnRef>
        <a:fillRef idx="1">
          <a:schemeClr val="lt1"/>
        </a:fillRef>
        <a:effectRef idx="0">
          <a:schemeClr val="accent1"/>
        </a:effectRef>
        <a:fontRef idx="minor">
          <a:schemeClr val="dk1"/>
        </a:fontRef>
      </xdr:style>
      <xdr:txBody>
        <a:bodyPr vertOverflow="clip" wrap="square" lIns="18288" tIns="0" rIns="0" bIns="0" rtlCol="0" anchor="ctr" upright="1"/>
        <a:lstStyle/>
        <a:p>
          <a:pPr algn="l"/>
          <a:endParaRPr lang="en-IN" sz="1100"/>
        </a:p>
      </xdr:txBody>
    </xdr:sp>
    <xdr:clientData/>
  </xdr:twoCellAnchor>
  <xdr:twoCellAnchor editAs="oneCell">
    <xdr:from>
      <xdr:col>1</xdr:col>
      <xdr:colOff>188120</xdr:colOff>
      <xdr:row>1</xdr:row>
      <xdr:rowOff>57150</xdr:rowOff>
    </xdr:from>
    <xdr:to>
      <xdr:col>2</xdr:col>
      <xdr:colOff>504955</xdr:colOff>
      <xdr:row>5</xdr:row>
      <xdr:rowOff>76296</xdr:rowOff>
    </xdr:to>
    <xdr:pic>
      <xdr:nvPicPr>
        <xdr:cNvPr id="25" name="Picture 24">
          <a:extLst>
            <a:ext uri="{FF2B5EF4-FFF2-40B4-BE49-F238E27FC236}">
              <a16:creationId xmlns:a16="http://schemas.microsoft.com/office/drawing/2014/main" id="{7CB2D44B-B95D-44AB-A18C-9B4F2EAF268C}"/>
            </a:ext>
          </a:extLst>
        </xdr:cNvPr>
        <xdr:cNvPicPr>
          <a:picLocks noChangeAspect="1"/>
        </xdr:cNvPicPr>
      </xdr:nvPicPr>
      <xdr:blipFill>
        <a:blip xmlns:r="http://schemas.openxmlformats.org/officeDocument/2006/relationships" r:embed="rId17">
          <a:extLst>
            <a:ext uri="{28A0092B-C50C-407E-A947-70E740481C1C}">
              <a14:useLocalDpi xmlns:a14="http://schemas.microsoft.com/office/drawing/2010/main" val="0"/>
            </a:ext>
          </a:extLst>
        </a:blip>
        <a:stretch>
          <a:fillRect/>
        </a:stretch>
      </xdr:blipFill>
      <xdr:spPr>
        <a:xfrm>
          <a:off x="795339" y="223838"/>
          <a:ext cx="924054" cy="685896"/>
        </a:xfrm>
        <a:prstGeom prst="rect">
          <a:avLst/>
        </a:prstGeom>
      </xdr:spPr>
    </xdr:pic>
    <xdr:clientData/>
  </xdr:twoCellAnchor>
  <xdr:twoCellAnchor>
    <xdr:from>
      <xdr:col>4</xdr:col>
      <xdr:colOff>511969</xdr:colOff>
      <xdr:row>2</xdr:row>
      <xdr:rowOff>23812</xdr:rowOff>
    </xdr:from>
    <xdr:to>
      <xdr:col>12</xdr:col>
      <xdr:colOff>83344</xdr:colOff>
      <xdr:row>5</xdr:row>
      <xdr:rowOff>35718</xdr:rowOff>
    </xdr:to>
    <xdr:sp macro="" textlink="">
      <xdr:nvSpPr>
        <xdr:cNvPr id="15" name="Flowchart: Alternate Process 14">
          <a:extLst>
            <a:ext uri="{FF2B5EF4-FFF2-40B4-BE49-F238E27FC236}">
              <a16:creationId xmlns:a16="http://schemas.microsoft.com/office/drawing/2014/main" id="{57825062-CBB8-40FD-98A0-6FB1BB45CBF8}"/>
            </a:ext>
          </a:extLst>
        </xdr:cNvPr>
        <xdr:cNvSpPr/>
      </xdr:nvSpPr>
      <xdr:spPr bwMode="auto">
        <a:xfrm>
          <a:off x="2940844" y="357187"/>
          <a:ext cx="4429125" cy="511969"/>
        </a:xfrm>
        <a:prstGeom prst="flowChartAlternateProcess">
          <a:avLst/>
        </a:prstGeom>
        <a:noFill/>
        <a:ln>
          <a:noFill/>
          <a:headEnd type="none" w="med" len="med"/>
          <a:tailEnd type="none" w="med" len="med"/>
        </a:ln>
      </xdr:spPr>
      <xdr:style>
        <a:lnRef idx="2">
          <a:schemeClr val="accent1"/>
        </a:lnRef>
        <a:fillRef idx="1">
          <a:schemeClr val="lt1"/>
        </a:fillRef>
        <a:effectRef idx="0">
          <a:schemeClr val="accent1"/>
        </a:effectRef>
        <a:fontRef idx="minor">
          <a:schemeClr val="dk1"/>
        </a:fontRef>
      </xdr:style>
      <xdr:txBody>
        <a:bodyPr vertOverflow="clip" wrap="square" lIns="18288" tIns="0" rIns="0" bIns="0" rtlCol="0" anchor="ctr" upright="1"/>
        <a:lstStyle/>
        <a:p>
          <a:pPr algn="l"/>
          <a:r>
            <a:rPr lang="en-IN" sz="3600" b="1" cap="none" spc="0">
              <a:ln w="13462">
                <a:solidFill>
                  <a:schemeClr val="bg1"/>
                </a:solidFill>
                <a:prstDash val="solid"/>
              </a:ln>
              <a:solidFill>
                <a:schemeClr val="tx1">
                  <a:lumMod val="85000"/>
                  <a:lumOff val="15000"/>
                </a:schemeClr>
              </a:solidFill>
              <a:effectLst>
                <a:outerShdw dist="38100" dir="2700000" algn="bl" rotWithShape="0">
                  <a:schemeClr val="accent5"/>
                </a:outerShdw>
              </a:effectLst>
            </a:rPr>
            <a:t>Financial Calculators</a:t>
          </a:r>
        </a:p>
      </xdr:txBody>
    </xdr:sp>
    <xdr:clientData/>
  </xdr:twoCellAnchor>
</xdr:wsDr>
</file>

<file path=xl/drawings/drawing10.xml><?xml version="1.0" encoding="utf-8"?>
<xdr:wsDr xmlns:xdr="http://schemas.openxmlformats.org/drawingml/2006/spreadsheetDrawing" xmlns:a="http://schemas.openxmlformats.org/drawingml/2006/main">
  <xdr:twoCellAnchor editAs="oneCell">
    <xdr:from>
      <xdr:col>6</xdr:col>
      <xdr:colOff>444500</xdr:colOff>
      <xdr:row>3</xdr:row>
      <xdr:rowOff>146050</xdr:rowOff>
    </xdr:from>
    <xdr:to>
      <xdr:col>9</xdr:col>
      <xdr:colOff>174625</xdr:colOff>
      <xdr:row>6</xdr:row>
      <xdr:rowOff>53975</xdr:rowOff>
    </xdr:to>
    <xdr:pic>
      <xdr:nvPicPr>
        <xdr:cNvPr id="2" name="Picture 1">
          <a:hlinkClick xmlns:r="http://schemas.openxmlformats.org/officeDocument/2006/relationships" r:id="rId1" tooltip="MAIN MENU"/>
          <a:extLst>
            <a:ext uri="{FF2B5EF4-FFF2-40B4-BE49-F238E27FC236}">
              <a16:creationId xmlns:a16="http://schemas.microsoft.com/office/drawing/2014/main" id="{00000000-0008-0000-0800-000002000000}"/>
            </a:ext>
          </a:extLst>
        </xdr:cNvPr>
        <xdr:cNvPicPr>
          <a:picLocks noChangeAspect="1" noChangeArrowheads="1"/>
        </xdr:cNvPicPr>
      </xdr:nvPicPr>
      <xdr:blipFill>
        <a:blip xmlns:r="http://schemas.openxmlformats.org/officeDocument/2006/relationships" r:embed="rId2"/>
        <a:srcRect/>
        <a:stretch>
          <a:fillRect/>
        </a:stretch>
      </xdr:blipFill>
      <xdr:spPr bwMode="auto">
        <a:xfrm>
          <a:off x="6426200" y="1060450"/>
          <a:ext cx="1654175" cy="460375"/>
        </a:xfrm>
        <a:prstGeom prst="roundRect">
          <a:avLst>
            <a:gd name="adj" fmla="val 4167"/>
          </a:avLst>
        </a:prstGeom>
        <a:solidFill>
          <a:srgbClr val="FFFFFF"/>
        </a:solidFill>
        <a:ln w="76200" cap="sq">
          <a:solidFill>
            <a:srgbClr val="292929"/>
          </a:solidFill>
          <a:miter lim="800000"/>
        </a:ln>
        <a:effectLst>
          <a:reflection blurRad="12700" stA="28000" endPos="28000" dist="5000" dir="5400000" sy="-100000" algn="bl" rotWithShape="0"/>
        </a:effectLst>
        <a:scene3d>
          <a:camera prst="orthographicFront"/>
          <a:lightRig rig="threePt" dir="t">
            <a:rot lat="0" lon="0" rev="2700000"/>
          </a:lightRig>
        </a:scene3d>
        <a:sp3d>
          <a:bevelT h="38100"/>
          <a:contourClr>
            <a:srgbClr val="C0C0C0"/>
          </a:contourClr>
        </a:sp3d>
      </xdr:spPr>
    </xdr:pic>
    <xdr:clientData/>
  </xdr:twoCellAnchor>
  <xdr:twoCellAnchor>
    <xdr:from>
      <xdr:col>6</xdr:col>
      <xdr:colOff>454025</xdr:colOff>
      <xdr:row>8</xdr:row>
      <xdr:rowOff>12700</xdr:rowOff>
    </xdr:from>
    <xdr:to>
      <xdr:col>9</xdr:col>
      <xdr:colOff>174625</xdr:colOff>
      <xdr:row>10</xdr:row>
      <xdr:rowOff>15875</xdr:rowOff>
    </xdr:to>
    <xdr:sp macro="" textlink="">
      <xdr:nvSpPr>
        <xdr:cNvPr id="3" name="Rounded Rectangle 2">
          <a:hlinkClick xmlns:r="http://schemas.openxmlformats.org/officeDocument/2006/relationships" r:id="rId3" tooltip="Financial Plan"/>
          <a:extLst>
            <a:ext uri="{FF2B5EF4-FFF2-40B4-BE49-F238E27FC236}">
              <a16:creationId xmlns:a16="http://schemas.microsoft.com/office/drawing/2014/main" id="{00000000-0008-0000-0800-000003000000}"/>
            </a:ext>
          </a:extLst>
        </xdr:cNvPr>
        <xdr:cNvSpPr/>
      </xdr:nvSpPr>
      <xdr:spPr bwMode="auto">
        <a:xfrm>
          <a:off x="6435725" y="1847850"/>
          <a:ext cx="1644650" cy="523875"/>
        </a:xfrm>
        <a:prstGeom prst="roundRect">
          <a:avLst/>
        </a:prstGeom>
        <a:ln>
          <a:headEnd type="none" w="med" len="med"/>
          <a:tailEnd type="none" w="med" len="med"/>
        </a:ln>
      </xdr:spPr>
      <xdr:style>
        <a:lnRef idx="0">
          <a:schemeClr val="accent5"/>
        </a:lnRef>
        <a:fillRef idx="3">
          <a:schemeClr val="accent5"/>
        </a:fillRef>
        <a:effectRef idx="3">
          <a:schemeClr val="accent5"/>
        </a:effectRef>
        <a:fontRef idx="minor">
          <a:schemeClr val="lt1"/>
        </a:fontRef>
      </xdr:style>
      <xdr:txBody>
        <a:bodyPr vertOverflow="clip" horzOverflow="clip" wrap="square" lIns="18288" tIns="0" rIns="0" bIns="0" rtlCol="0" anchor="ctr" upright="1"/>
        <a:lstStyle/>
        <a:p>
          <a:pPr algn="ctr"/>
          <a:r>
            <a:rPr lang="en-US" sz="1400" b="1">
              <a:solidFill>
                <a:schemeClr val="bg1"/>
              </a:solidFill>
            </a:rPr>
            <a:t>FINANCIAL PLAN OUTPUT</a:t>
          </a:r>
        </a:p>
      </xdr:txBody>
    </xdr:sp>
    <xdr:clientData/>
  </xdr:twoCellAnchor>
  <xdr:twoCellAnchor editAs="oneCell">
    <xdr:from>
      <xdr:col>6</xdr:col>
      <xdr:colOff>200024</xdr:colOff>
      <xdr:row>0</xdr:row>
      <xdr:rowOff>133350</xdr:rowOff>
    </xdr:from>
    <xdr:to>
      <xdr:col>9</xdr:col>
      <xdr:colOff>400049</xdr:colOff>
      <xdr:row>3</xdr:row>
      <xdr:rowOff>38100</xdr:rowOff>
    </xdr:to>
    <xdr:pic>
      <xdr:nvPicPr>
        <xdr:cNvPr id="6" name="Picture 5">
          <a:extLst>
            <a:ext uri="{FF2B5EF4-FFF2-40B4-BE49-F238E27FC236}">
              <a16:creationId xmlns:a16="http://schemas.microsoft.com/office/drawing/2014/main" id="{49CA54E0-B6D1-47BE-87FF-6BFD79FF474C}"/>
            </a:ext>
          </a:extLst>
        </xdr:cNvPr>
        <xdr:cNvPicPr>
          <a:picLocks noChangeAspect="1"/>
        </xdr:cNvPicPr>
      </xdr:nvPicPr>
      <xdr:blipFill>
        <a:blip xmlns:r="http://schemas.openxmlformats.org/officeDocument/2006/relationships" r:embed="rId4">
          <a:extLst>
            <a:ext uri="{28A0092B-C50C-407E-A947-70E740481C1C}">
              <a14:useLocalDpi xmlns:a14="http://schemas.microsoft.com/office/drawing/2010/main" val="0"/>
            </a:ext>
          </a:extLst>
        </a:blip>
        <a:stretch>
          <a:fillRect/>
        </a:stretch>
      </xdr:blipFill>
      <xdr:spPr>
        <a:xfrm>
          <a:off x="5915024" y="133350"/>
          <a:ext cx="2028825" cy="828675"/>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10</xdr:col>
      <xdr:colOff>114301</xdr:colOff>
      <xdr:row>0</xdr:row>
      <xdr:rowOff>161925</xdr:rowOff>
    </xdr:from>
    <xdr:to>
      <xdr:col>10</xdr:col>
      <xdr:colOff>716381</xdr:colOff>
      <xdr:row>2</xdr:row>
      <xdr:rowOff>86106</xdr:rowOff>
    </xdr:to>
    <xdr:pic>
      <xdr:nvPicPr>
        <xdr:cNvPr id="2" name="Picture 1">
          <a:hlinkClick xmlns:r="http://schemas.openxmlformats.org/officeDocument/2006/relationships" r:id="rId1" tooltip="Back"/>
          <a:extLst>
            <a:ext uri="{FF2B5EF4-FFF2-40B4-BE49-F238E27FC236}">
              <a16:creationId xmlns:a16="http://schemas.microsoft.com/office/drawing/2014/main" id="{00000000-0008-0000-0900-000002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8515351" y="161925"/>
          <a:ext cx="602080" cy="457581"/>
        </a:xfrm>
        <a:prstGeom prst="rect">
          <a:avLst/>
        </a:prstGeom>
      </xdr:spPr>
    </xdr:pic>
    <xdr:clientData fPrintsWithSheet="0"/>
  </xdr:twoCellAnchor>
  <xdr:twoCellAnchor editAs="oneCell">
    <xdr:from>
      <xdr:col>8</xdr:col>
      <xdr:colOff>114300</xdr:colOff>
      <xdr:row>13</xdr:row>
      <xdr:rowOff>123825</xdr:rowOff>
    </xdr:from>
    <xdr:to>
      <xdr:col>10</xdr:col>
      <xdr:colOff>752475</xdr:colOff>
      <xdr:row>20</xdr:row>
      <xdr:rowOff>19429</xdr:rowOff>
    </xdr:to>
    <xdr:pic>
      <xdr:nvPicPr>
        <xdr:cNvPr id="5" name="Picture 4">
          <a:extLst>
            <a:ext uri="{FF2B5EF4-FFF2-40B4-BE49-F238E27FC236}">
              <a16:creationId xmlns:a16="http://schemas.microsoft.com/office/drawing/2014/main" id="{95404DBB-1AB5-4012-B3DD-D7436EE9B81E}"/>
            </a:ext>
          </a:extLst>
        </xdr:cNvPr>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Lst>
        </a:blip>
        <a:stretch>
          <a:fillRect/>
        </a:stretch>
      </xdr:blipFill>
      <xdr:spPr>
        <a:xfrm>
          <a:off x="7639050" y="3171825"/>
          <a:ext cx="1514475" cy="1400554"/>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xdr:from>
      <xdr:col>12</xdr:col>
      <xdr:colOff>457200</xdr:colOff>
      <xdr:row>9</xdr:row>
      <xdr:rowOff>177800</xdr:rowOff>
    </xdr:from>
    <xdr:to>
      <xdr:col>15</xdr:col>
      <xdr:colOff>279400</xdr:colOff>
      <xdr:row>13</xdr:row>
      <xdr:rowOff>190500</xdr:rowOff>
    </xdr:to>
    <xdr:sp macro="" textlink="">
      <xdr:nvSpPr>
        <xdr:cNvPr id="2" name="Rounded Rectangle 1">
          <a:hlinkClick xmlns:r="http://schemas.openxmlformats.org/officeDocument/2006/relationships" r:id="rId1" tooltip="Part 2"/>
          <a:extLst>
            <a:ext uri="{FF2B5EF4-FFF2-40B4-BE49-F238E27FC236}">
              <a16:creationId xmlns:a16="http://schemas.microsoft.com/office/drawing/2014/main" id="{00000000-0008-0000-0A00-000002000000}"/>
            </a:ext>
          </a:extLst>
        </xdr:cNvPr>
        <xdr:cNvSpPr/>
      </xdr:nvSpPr>
      <xdr:spPr bwMode="auto">
        <a:xfrm>
          <a:off x="8420100" y="2089150"/>
          <a:ext cx="1651000" cy="825500"/>
        </a:xfrm>
        <a:prstGeom prst="roundRect">
          <a:avLst/>
        </a:prstGeom>
        <a:ln>
          <a:headEnd type="none" w="med" len="med"/>
          <a:tailEnd type="none" w="med" len="med"/>
        </a:ln>
      </xdr:spPr>
      <xdr:style>
        <a:lnRef idx="0">
          <a:schemeClr val="accent5"/>
        </a:lnRef>
        <a:fillRef idx="3">
          <a:schemeClr val="accent5"/>
        </a:fillRef>
        <a:effectRef idx="3">
          <a:schemeClr val="accent5"/>
        </a:effectRef>
        <a:fontRef idx="minor">
          <a:schemeClr val="lt1"/>
        </a:fontRef>
      </xdr:style>
      <xdr:txBody>
        <a:bodyPr vertOverflow="clip" horzOverflow="clip" wrap="square" lIns="18288" tIns="0" rIns="0" bIns="0" rtlCol="0" anchor="ctr" upright="1"/>
        <a:lstStyle/>
        <a:p>
          <a:pPr algn="ctr"/>
          <a:r>
            <a:rPr lang="en-IN" sz="1400" b="1">
              <a:solidFill>
                <a:srgbClr val="FFFF00"/>
              </a:solidFill>
              <a:latin typeface="Times New Roman" panose="02020603050405020304" pitchFamily="18" charset="0"/>
              <a:cs typeface="Times New Roman" panose="02020603050405020304" pitchFamily="18" charset="0"/>
            </a:rPr>
            <a:t>Click Here </a:t>
          </a:r>
          <a:r>
            <a:rPr lang="en-IN" sz="1400" b="1">
              <a:solidFill>
                <a:schemeClr val="bg1"/>
              </a:solidFill>
              <a:latin typeface="Times New Roman" panose="02020603050405020304" pitchFamily="18" charset="0"/>
              <a:cs typeface="Times New Roman" panose="02020603050405020304" pitchFamily="18" charset="0"/>
            </a:rPr>
            <a:t>for QUICK CALC (SIP)</a:t>
          </a:r>
        </a:p>
      </xdr:txBody>
    </xdr:sp>
    <xdr:clientData/>
  </xdr:twoCellAnchor>
  <xdr:twoCellAnchor editAs="oneCell">
    <xdr:from>
      <xdr:col>12</xdr:col>
      <xdr:colOff>425450</xdr:colOff>
      <xdr:row>5</xdr:row>
      <xdr:rowOff>152400</xdr:rowOff>
    </xdr:from>
    <xdr:to>
      <xdr:col>15</xdr:col>
      <xdr:colOff>250825</xdr:colOff>
      <xdr:row>8</xdr:row>
      <xdr:rowOff>3175</xdr:rowOff>
    </xdr:to>
    <xdr:pic>
      <xdr:nvPicPr>
        <xdr:cNvPr id="3" name="Picture 2">
          <a:hlinkClick xmlns:r="http://schemas.openxmlformats.org/officeDocument/2006/relationships" r:id="rId2" tooltip="MAIN MENU"/>
          <a:extLst>
            <a:ext uri="{FF2B5EF4-FFF2-40B4-BE49-F238E27FC236}">
              <a16:creationId xmlns:a16="http://schemas.microsoft.com/office/drawing/2014/main" id="{00000000-0008-0000-0A00-000003000000}"/>
            </a:ext>
          </a:extLst>
        </xdr:cNvPr>
        <xdr:cNvPicPr>
          <a:picLocks noChangeAspect="1" noChangeArrowheads="1"/>
        </xdr:cNvPicPr>
      </xdr:nvPicPr>
      <xdr:blipFill>
        <a:blip xmlns:r="http://schemas.openxmlformats.org/officeDocument/2006/relationships" r:embed="rId3"/>
        <a:srcRect/>
        <a:stretch>
          <a:fillRect/>
        </a:stretch>
      </xdr:blipFill>
      <xdr:spPr bwMode="auto">
        <a:xfrm>
          <a:off x="8388350" y="1250950"/>
          <a:ext cx="1654175" cy="460375"/>
        </a:xfrm>
        <a:prstGeom prst="roundRect">
          <a:avLst>
            <a:gd name="adj" fmla="val 4167"/>
          </a:avLst>
        </a:prstGeom>
        <a:solidFill>
          <a:srgbClr val="FFFFFF"/>
        </a:solidFill>
        <a:ln w="76200" cap="sq">
          <a:solidFill>
            <a:srgbClr val="292929"/>
          </a:solidFill>
          <a:miter lim="800000"/>
        </a:ln>
        <a:effectLst>
          <a:reflection blurRad="12700" stA="28000" endPos="28000" dist="5000" dir="5400000" sy="-100000" algn="bl" rotWithShape="0"/>
        </a:effectLst>
        <a:scene3d>
          <a:camera prst="orthographicFront"/>
          <a:lightRig rig="threePt" dir="t">
            <a:rot lat="0" lon="0" rev="2700000"/>
          </a:lightRig>
        </a:scene3d>
        <a:sp3d>
          <a:bevelT h="38100"/>
          <a:contourClr>
            <a:srgbClr val="C0C0C0"/>
          </a:contourClr>
        </a:sp3d>
      </xdr:spPr>
    </xdr:pic>
    <xdr:clientData/>
  </xdr:twoCellAnchor>
  <xdr:twoCellAnchor editAs="oneCell">
    <xdr:from>
      <xdr:col>12</xdr:col>
      <xdr:colOff>247650</xdr:colOff>
      <xdr:row>0</xdr:row>
      <xdr:rowOff>133350</xdr:rowOff>
    </xdr:from>
    <xdr:to>
      <xdr:col>15</xdr:col>
      <xdr:colOff>333375</xdr:colOff>
      <xdr:row>5</xdr:row>
      <xdr:rowOff>42863</xdr:rowOff>
    </xdr:to>
    <xdr:pic>
      <xdr:nvPicPr>
        <xdr:cNvPr id="6" name="Picture 5">
          <a:extLst>
            <a:ext uri="{FF2B5EF4-FFF2-40B4-BE49-F238E27FC236}">
              <a16:creationId xmlns:a16="http://schemas.microsoft.com/office/drawing/2014/main" id="{5819795A-5BE2-4BEC-806E-F7F8961972D9}"/>
            </a:ext>
          </a:extLst>
        </xdr:cNvPr>
        <xdr:cNvPicPr>
          <a:picLocks noChangeAspect="1"/>
        </xdr:cNvPicPr>
      </xdr:nvPicPr>
      <xdr:blipFill>
        <a:blip xmlns:r="http://schemas.openxmlformats.org/officeDocument/2006/relationships" r:embed="rId4">
          <a:extLst>
            <a:ext uri="{28A0092B-C50C-407E-A947-70E740481C1C}">
              <a14:useLocalDpi xmlns:a14="http://schemas.microsoft.com/office/drawing/2010/main" val="0"/>
            </a:ext>
          </a:extLst>
        </a:blip>
        <a:stretch>
          <a:fillRect/>
        </a:stretch>
      </xdr:blipFill>
      <xdr:spPr>
        <a:xfrm>
          <a:off x="7829550" y="133350"/>
          <a:ext cx="1828800" cy="995363"/>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12</xdr:col>
      <xdr:colOff>425450</xdr:colOff>
      <xdr:row>5</xdr:row>
      <xdr:rowOff>171450</xdr:rowOff>
    </xdr:from>
    <xdr:to>
      <xdr:col>15</xdr:col>
      <xdr:colOff>250825</xdr:colOff>
      <xdr:row>8</xdr:row>
      <xdr:rowOff>22225</xdr:rowOff>
    </xdr:to>
    <xdr:pic>
      <xdr:nvPicPr>
        <xdr:cNvPr id="2" name="Picture 1">
          <a:hlinkClick xmlns:r="http://schemas.openxmlformats.org/officeDocument/2006/relationships" r:id="rId1" tooltip="MAIN MENU"/>
          <a:extLst>
            <a:ext uri="{FF2B5EF4-FFF2-40B4-BE49-F238E27FC236}">
              <a16:creationId xmlns:a16="http://schemas.microsoft.com/office/drawing/2014/main" id="{00000000-0008-0000-0B00-000002000000}"/>
            </a:ext>
          </a:extLst>
        </xdr:cNvPr>
        <xdr:cNvPicPr>
          <a:picLocks noChangeAspect="1" noChangeArrowheads="1"/>
        </xdr:cNvPicPr>
      </xdr:nvPicPr>
      <xdr:blipFill>
        <a:blip xmlns:r="http://schemas.openxmlformats.org/officeDocument/2006/relationships" r:embed="rId2"/>
        <a:srcRect/>
        <a:stretch>
          <a:fillRect/>
        </a:stretch>
      </xdr:blipFill>
      <xdr:spPr bwMode="auto">
        <a:xfrm>
          <a:off x="8388350" y="1270000"/>
          <a:ext cx="1654175" cy="460375"/>
        </a:xfrm>
        <a:prstGeom prst="roundRect">
          <a:avLst>
            <a:gd name="adj" fmla="val 4167"/>
          </a:avLst>
        </a:prstGeom>
        <a:solidFill>
          <a:srgbClr val="FFFFFF"/>
        </a:solidFill>
        <a:ln w="76200" cap="sq">
          <a:solidFill>
            <a:srgbClr val="292929"/>
          </a:solidFill>
          <a:miter lim="800000"/>
        </a:ln>
        <a:effectLst>
          <a:reflection blurRad="12700" stA="28000" endPos="28000" dist="5000" dir="5400000" sy="-100000" algn="bl" rotWithShape="0"/>
        </a:effectLst>
        <a:scene3d>
          <a:camera prst="orthographicFront"/>
          <a:lightRig rig="threePt" dir="t">
            <a:rot lat="0" lon="0" rev="2700000"/>
          </a:lightRig>
        </a:scene3d>
        <a:sp3d>
          <a:bevelT h="38100"/>
          <a:contourClr>
            <a:srgbClr val="C0C0C0"/>
          </a:contourClr>
        </a:sp3d>
      </xdr:spPr>
    </xdr:pic>
    <xdr:clientData/>
  </xdr:twoCellAnchor>
  <xdr:twoCellAnchor>
    <xdr:from>
      <xdr:col>12</xdr:col>
      <xdr:colOff>463550</xdr:colOff>
      <xdr:row>9</xdr:row>
      <xdr:rowOff>190500</xdr:rowOff>
    </xdr:from>
    <xdr:to>
      <xdr:col>15</xdr:col>
      <xdr:colOff>287150</xdr:colOff>
      <xdr:row>13</xdr:row>
      <xdr:rowOff>202100</xdr:rowOff>
    </xdr:to>
    <xdr:sp macro="" textlink="">
      <xdr:nvSpPr>
        <xdr:cNvPr id="3" name="Rounded Rectangle 2">
          <a:hlinkClick xmlns:r="http://schemas.openxmlformats.org/officeDocument/2006/relationships" r:id="rId3" tooltip="Part 1"/>
          <a:extLst>
            <a:ext uri="{FF2B5EF4-FFF2-40B4-BE49-F238E27FC236}">
              <a16:creationId xmlns:a16="http://schemas.microsoft.com/office/drawing/2014/main" id="{00000000-0008-0000-0B00-000003000000}"/>
            </a:ext>
          </a:extLst>
        </xdr:cNvPr>
        <xdr:cNvSpPr/>
      </xdr:nvSpPr>
      <xdr:spPr bwMode="auto">
        <a:xfrm>
          <a:off x="8426450" y="2101850"/>
          <a:ext cx="1652400" cy="824400"/>
        </a:xfrm>
        <a:prstGeom prst="roundRect">
          <a:avLst/>
        </a:prstGeom>
        <a:ln>
          <a:headEnd type="none" w="med" len="med"/>
          <a:tailEnd type="none" w="med" len="med"/>
        </a:ln>
      </xdr:spPr>
      <xdr:style>
        <a:lnRef idx="0">
          <a:schemeClr val="accent5"/>
        </a:lnRef>
        <a:fillRef idx="3">
          <a:schemeClr val="accent5"/>
        </a:fillRef>
        <a:effectRef idx="3">
          <a:schemeClr val="accent5"/>
        </a:effectRef>
        <a:fontRef idx="minor">
          <a:schemeClr val="lt1"/>
        </a:fontRef>
      </xdr:style>
      <xdr:txBody>
        <a:bodyPr vertOverflow="clip" horzOverflow="clip" wrap="square" lIns="18288" tIns="0" rIns="0" bIns="0" rtlCol="0" anchor="ctr" upright="1"/>
        <a:lstStyle/>
        <a:p>
          <a:pPr algn="ctr"/>
          <a:r>
            <a:rPr lang="en-IN" sz="1400" b="1">
              <a:solidFill>
                <a:srgbClr val="FFFF00"/>
              </a:solidFill>
              <a:latin typeface="Times New Roman" panose="02020603050405020304" pitchFamily="18" charset="0"/>
              <a:cs typeface="Times New Roman" panose="02020603050405020304" pitchFamily="18" charset="0"/>
            </a:rPr>
            <a:t>Click Here</a:t>
          </a:r>
          <a:r>
            <a:rPr lang="en-IN" sz="1400" b="1">
              <a:solidFill>
                <a:schemeClr val="bg1"/>
              </a:solidFill>
              <a:latin typeface="Times New Roman" panose="02020603050405020304" pitchFamily="18" charset="0"/>
              <a:cs typeface="Times New Roman" panose="02020603050405020304" pitchFamily="18" charset="0"/>
            </a:rPr>
            <a:t> for QUICK CALC (Lump-Sum)</a:t>
          </a:r>
        </a:p>
      </xdr:txBody>
    </xdr:sp>
    <xdr:clientData/>
  </xdr:twoCellAnchor>
  <xdr:twoCellAnchor editAs="oneCell">
    <xdr:from>
      <xdr:col>12</xdr:col>
      <xdr:colOff>352425</xdr:colOff>
      <xdr:row>0</xdr:row>
      <xdr:rowOff>171450</xdr:rowOff>
    </xdr:from>
    <xdr:to>
      <xdr:col>15</xdr:col>
      <xdr:colOff>409575</xdr:colOff>
      <xdr:row>5</xdr:row>
      <xdr:rowOff>76200</xdr:rowOff>
    </xdr:to>
    <xdr:pic>
      <xdr:nvPicPr>
        <xdr:cNvPr id="6" name="Picture 5">
          <a:extLst>
            <a:ext uri="{FF2B5EF4-FFF2-40B4-BE49-F238E27FC236}">
              <a16:creationId xmlns:a16="http://schemas.microsoft.com/office/drawing/2014/main" id="{B960609E-2BC7-4D2C-8A49-DE3CBFB235E0}"/>
            </a:ext>
          </a:extLst>
        </xdr:cNvPr>
        <xdr:cNvPicPr>
          <a:picLocks noChangeAspect="1"/>
        </xdr:cNvPicPr>
      </xdr:nvPicPr>
      <xdr:blipFill>
        <a:blip xmlns:r="http://schemas.openxmlformats.org/officeDocument/2006/relationships" r:embed="rId4">
          <a:extLst>
            <a:ext uri="{28A0092B-C50C-407E-A947-70E740481C1C}">
              <a14:useLocalDpi xmlns:a14="http://schemas.microsoft.com/office/drawing/2010/main" val="0"/>
            </a:ext>
          </a:extLst>
        </a:blip>
        <a:stretch>
          <a:fillRect/>
        </a:stretch>
      </xdr:blipFill>
      <xdr:spPr>
        <a:xfrm>
          <a:off x="7934325" y="171450"/>
          <a:ext cx="1800225" cy="990600"/>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7</xdr:col>
      <xdr:colOff>120650</xdr:colOff>
      <xdr:row>1</xdr:row>
      <xdr:rowOff>25400</xdr:rowOff>
    </xdr:from>
    <xdr:to>
      <xdr:col>9</xdr:col>
      <xdr:colOff>555625</xdr:colOff>
      <xdr:row>2</xdr:row>
      <xdr:rowOff>244475</xdr:rowOff>
    </xdr:to>
    <xdr:pic>
      <xdr:nvPicPr>
        <xdr:cNvPr id="3" name="Picture 2">
          <a:hlinkClick xmlns:r="http://schemas.openxmlformats.org/officeDocument/2006/relationships" r:id="rId1" tooltip="MAIN MENU"/>
          <a:extLst>
            <a:ext uri="{FF2B5EF4-FFF2-40B4-BE49-F238E27FC236}">
              <a16:creationId xmlns:a16="http://schemas.microsoft.com/office/drawing/2014/main" id="{7A78B522-F588-443E-ABC2-A4DCA47DC1F8}"/>
            </a:ext>
          </a:extLst>
        </xdr:cNvPr>
        <xdr:cNvPicPr>
          <a:picLocks noChangeAspect="1" noChangeArrowheads="1"/>
        </xdr:cNvPicPr>
      </xdr:nvPicPr>
      <xdr:blipFill>
        <a:blip xmlns:r="http://schemas.openxmlformats.org/officeDocument/2006/relationships" r:embed="rId2"/>
        <a:srcRect/>
        <a:stretch>
          <a:fillRect/>
        </a:stretch>
      </xdr:blipFill>
      <xdr:spPr bwMode="auto">
        <a:xfrm>
          <a:off x="7239000" y="215900"/>
          <a:ext cx="1654175" cy="473075"/>
        </a:xfrm>
        <a:prstGeom prst="roundRect">
          <a:avLst>
            <a:gd name="adj" fmla="val 4167"/>
          </a:avLst>
        </a:prstGeom>
        <a:solidFill>
          <a:srgbClr val="FFFFFF"/>
        </a:solidFill>
        <a:ln w="76200" cap="sq">
          <a:solidFill>
            <a:srgbClr val="292929"/>
          </a:solidFill>
          <a:miter lim="800000"/>
        </a:ln>
        <a:effectLst>
          <a:reflection blurRad="12700" stA="28000" endPos="28000" dist="5000" dir="5400000" sy="-100000" algn="bl" rotWithShape="0"/>
        </a:effectLst>
        <a:scene3d>
          <a:camera prst="orthographicFront"/>
          <a:lightRig rig="threePt" dir="t">
            <a:rot lat="0" lon="0" rev="2700000"/>
          </a:lightRig>
        </a:scene3d>
        <a:sp3d>
          <a:bevelT h="38100"/>
          <a:contourClr>
            <a:srgbClr val="C0C0C0"/>
          </a:contourClr>
        </a:sp3d>
      </xdr:spPr>
    </xdr:pic>
    <xdr:clientData fPrintsWithSheet="0"/>
  </xdr:twoCellAnchor>
  <xdr:twoCellAnchor editAs="oneCell">
    <xdr:from>
      <xdr:col>1</xdr:col>
      <xdr:colOff>104775</xdr:colOff>
      <xdr:row>10</xdr:row>
      <xdr:rowOff>180975</xdr:rowOff>
    </xdr:from>
    <xdr:to>
      <xdr:col>2</xdr:col>
      <xdr:colOff>695325</xdr:colOff>
      <xdr:row>16</xdr:row>
      <xdr:rowOff>32748</xdr:rowOff>
    </xdr:to>
    <xdr:pic>
      <xdr:nvPicPr>
        <xdr:cNvPr id="4" name="Picture 3">
          <a:extLst>
            <a:ext uri="{FF2B5EF4-FFF2-40B4-BE49-F238E27FC236}">
              <a16:creationId xmlns:a16="http://schemas.microsoft.com/office/drawing/2014/main" id="{48B86167-F9B5-42A4-997C-8E47D19833CE}"/>
            </a:ext>
          </a:extLst>
        </xdr:cNvPr>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Lst>
        </a:blip>
        <a:stretch>
          <a:fillRect/>
        </a:stretch>
      </xdr:blipFill>
      <xdr:spPr>
        <a:xfrm>
          <a:off x="247650" y="2609850"/>
          <a:ext cx="1590675" cy="1471023"/>
        </a:xfrm>
        <a:prstGeom prst="rect">
          <a:avLst/>
        </a:prstGeom>
      </xdr:spPr>
    </xdr:pic>
    <xdr:clientData/>
  </xdr:twoCellAnchor>
</xdr:wsDr>
</file>

<file path=xl/drawings/drawing15.xml><?xml version="1.0" encoding="utf-8"?>
<xdr:wsDr xmlns:xdr="http://schemas.openxmlformats.org/drawingml/2006/spreadsheetDrawing" xmlns:a="http://schemas.openxmlformats.org/drawingml/2006/main">
  <xdr:twoCellAnchor>
    <xdr:from>
      <xdr:col>3</xdr:col>
      <xdr:colOff>358140</xdr:colOff>
      <xdr:row>1</xdr:row>
      <xdr:rowOff>224790</xdr:rowOff>
    </xdr:from>
    <xdr:to>
      <xdr:col>5</xdr:col>
      <xdr:colOff>561340</xdr:colOff>
      <xdr:row>4</xdr:row>
      <xdr:rowOff>224790</xdr:rowOff>
    </xdr:to>
    <xdr:sp macro="" textlink="">
      <xdr:nvSpPr>
        <xdr:cNvPr id="2" name="Rectangle 1">
          <a:hlinkClick xmlns:r="http://schemas.openxmlformats.org/officeDocument/2006/relationships" r:id="rId1" tooltip="Cash-Flow"/>
          <a:extLst>
            <a:ext uri="{FF2B5EF4-FFF2-40B4-BE49-F238E27FC236}">
              <a16:creationId xmlns:a16="http://schemas.microsoft.com/office/drawing/2014/main" id="{55F7E462-89E1-431E-9F68-617F05EB4494}"/>
            </a:ext>
          </a:extLst>
        </xdr:cNvPr>
        <xdr:cNvSpPr/>
      </xdr:nvSpPr>
      <xdr:spPr>
        <a:xfrm>
          <a:off x="2381250" y="407670"/>
          <a:ext cx="1971040" cy="754380"/>
        </a:xfrm>
        <a:prstGeom prst="rect">
          <a:avLst/>
        </a:prstGeom>
      </xdr:spPr>
      <xdr:style>
        <a:lnRef idx="0">
          <a:schemeClr val="accent5"/>
        </a:lnRef>
        <a:fillRef idx="3">
          <a:schemeClr val="accent5"/>
        </a:fillRef>
        <a:effectRef idx="3">
          <a:schemeClr val="accent5"/>
        </a:effectRef>
        <a:fontRef idx="minor">
          <a:schemeClr val="lt1"/>
        </a:fontRef>
      </xdr:style>
      <xdr:txBody>
        <a:bodyPr vertOverflow="clip" horzOverflow="clip" rtlCol="0" anchor="ctr"/>
        <a:lstStyle/>
        <a:p>
          <a:pPr algn="ctr"/>
          <a:r>
            <a:rPr lang="en-IN" sz="1400" b="1"/>
            <a:t>Click Here for </a:t>
          </a:r>
        </a:p>
        <a:p>
          <a:pPr algn="ctr"/>
          <a:r>
            <a:rPr lang="en-IN" sz="1400" b="1"/>
            <a:t>Detailed Cash-Flow</a:t>
          </a:r>
          <a:r>
            <a:rPr lang="en-IN" sz="1400" b="1" baseline="0"/>
            <a:t> (Month-wise SWP)</a:t>
          </a:r>
          <a:endParaRPr lang="en-IN" sz="1400" b="1"/>
        </a:p>
      </xdr:txBody>
    </xdr:sp>
    <xdr:clientData/>
  </xdr:twoCellAnchor>
  <xdr:twoCellAnchor editAs="oneCell">
    <xdr:from>
      <xdr:col>12</xdr:col>
      <xdr:colOff>107951</xdr:colOff>
      <xdr:row>0</xdr:row>
      <xdr:rowOff>80010</xdr:rowOff>
    </xdr:from>
    <xdr:to>
      <xdr:col>15</xdr:col>
      <xdr:colOff>15241</xdr:colOff>
      <xdr:row>1</xdr:row>
      <xdr:rowOff>216226</xdr:rowOff>
    </xdr:to>
    <xdr:pic>
      <xdr:nvPicPr>
        <xdr:cNvPr id="4" name="Picture 3">
          <a:hlinkClick xmlns:r="http://schemas.openxmlformats.org/officeDocument/2006/relationships" r:id="rId2" tooltip="MAIN MENU"/>
          <a:extLst>
            <a:ext uri="{FF2B5EF4-FFF2-40B4-BE49-F238E27FC236}">
              <a16:creationId xmlns:a16="http://schemas.microsoft.com/office/drawing/2014/main" id="{D9C1B66E-1A1D-4007-9837-59CE6C85C0A9}"/>
            </a:ext>
          </a:extLst>
        </xdr:cNvPr>
        <xdr:cNvPicPr>
          <a:picLocks noChangeAspect="1" noChangeArrowheads="1"/>
        </xdr:cNvPicPr>
      </xdr:nvPicPr>
      <xdr:blipFill>
        <a:blip xmlns:r="http://schemas.openxmlformats.org/officeDocument/2006/relationships" r:embed="rId3"/>
        <a:srcRect/>
        <a:stretch>
          <a:fillRect/>
        </a:stretch>
      </xdr:blipFill>
      <xdr:spPr bwMode="auto">
        <a:xfrm>
          <a:off x="9331961" y="80010"/>
          <a:ext cx="1103630" cy="319096"/>
        </a:xfrm>
        <a:prstGeom prst="roundRect">
          <a:avLst>
            <a:gd name="adj" fmla="val 4167"/>
          </a:avLst>
        </a:prstGeom>
        <a:solidFill>
          <a:srgbClr val="FFFFFF"/>
        </a:solidFill>
        <a:ln w="76200" cap="sq">
          <a:solidFill>
            <a:srgbClr val="292929"/>
          </a:solidFill>
          <a:miter lim="800000"/>
        </a:ln>
        <a:effectLst>
          <a:reflection blurRad="12700" stA="28000" endPos="28000" dist="5000" dir="5400000" sy="-100000" algn="bl" rotWithShape="0"/>
        </a:effectLst>
        <a:scene3d>
          <a:camera prst="orthographicFront"/>
          <a:lightRig rig="threePt" dir="t">
            <a:rot lat="0" lon="0" rev="2700000"/>
          </a:lightRig>
        </a:scene3d>
        <a:sp3d>
          <a:bevelT h="38100"/>
          <a:contourClr>
            <a:srgbClr val="C0C0C0"/>
          </a:contourClr>
        </a:sp3d>
      </xdr:spPr>
    </xdr:pic>
    <xdr:clientData fPrintsWithSheet="0"/>
  </xdr:twoCellAnchor>
  <xdr:twoCellAnchor editAs="oneCell">
    <xdr:from>
      <xdr:col>12</xdr:col>
      <xdr:colOff>114300</xdr:colOff>
      <xdr:row>2</xdr:row>
      <xdr:rowOff>47625</xdr:rowOff>
    </xdr:from>
    <xdr:to>
      <xdr:col>15</xdr:col>
      <xdr:colOff>371475</xdr:colOff>
      <xdr:row>4</xdr:row>
      <xdr:rowOff>189358</xdr:rowOff>
    </xdr:to>
    <xdr:pic>
      <xdr:nvPicPr>
        <xdr:cNvPr id="6" name="Picture 5">
          <a:extLst>
            <a:ext uri="{FF2B5EF4-FFF2-40B4-BE49-F238E27FC236}">
              <a16:creationId xmlns:a16="http://schemas.microsoft.com/office/drawing/2014/main" id="{42EB0007-D789-494D-89D7-C14794FD5B48}"/>
            </a:ext>
          </a:extLst>
        </xdr:cNvPr>
        <xdr:cNvPicPr>
          <a:picLocks noChangeAspect="1"/>
        </xdr:cNvPicPr>
      </xdr:nvPicPr>
      <xdr:blipFill>
        <a:blip xmlns:r="http://schemas.openxmlformats.org/officeDocument/2006/relationships" r:embed="rId4">
          <a:extLst>
            <a:ext uri="{28A0092B-C50C-407E-A947-70E740481C1C}">
              <a14:useLocalDpi xmlns:a14="http://schemas.microsoft.com/office/drawing/2010/main" val="0"/>
            </a:ext>
          </a:extLst>
        </a:blip>
        <a:stretch>
          <a:fillRect/>
        </a:stretch>
      </xdr:blipFill>
      <xdr:spPr>
        <a:xfrm>
          <a:off x="9058275" y="485775"/>
          <a:ext cx="1419225" cy="637033"/>
        </a:xfrm>
        <a:prstGeom prst="rect">
          <a:avLst/>
        </a:prstGeom>
      </xdr:spPr>
    </xdr:pic>
    <xdr:clientData/>
  </xdr:twoCellAnchor>
</xdr:wsDr>
</file>

<file path=xl/drawings/drawing16.xml><?xml version="1.0" encoding="utf-8"?>
<xdr:wsDr xmlns:xdr="http://schemas.openxmlformats.org/drawingml/2006/spreadsheetDrawing" xmlns:a="http://schemas.openxmlformats.org/drawingml/2006/main">
  <xdr:twoCellAnchor editAs="oneCell">
    <xdr:from>
      <xdr:col>9</xdr:col>
      <xdr:colOff>38101</xdr:colOff>
      <xdr:row>0</xdr:row>
      <xdr:rowOff>141514</xdr:rowOff>
    </xdr:from>
    <xdr:to>
      <xdr:col>9</xdr:col>
      <xdr:colOff>612795</xdr:colOff>
      <xdr:row>3</xdr:row>
      <xdr:rowOff>27466</xdr:rowOff>
    </xdr:to>
    <xdr:pic>
      <xdr:nvPicPr>
        <xdr:cNvPr id="4" name="Picture 3">
          <a:hlinkClick xmlns:r="http://schemas.openxmlformats.org/officeDocument/2006/relationships" r:id="rId1" tooltip="Back"/>
          <a:extLst>
            <a:ext uri="{FF2B5EF4-FFF2-40B4-BE49-F238E27FC236}">
              <a16:creationId xmlns:a16="http://schemas.microsoft.com/office/drawing/2014/main" id="{B4EB98DD-946F-43D0-9C86-F4C1D992B171}"/>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6210301" y="141514"/>
          <a:ext cx="574694" cy="441123"/>
        </a:xfrm>
        <a:prstGeom prst="rect">
          <a:avLst/>
        </a:prstGeom>
      </xdr:spPr>
    </xdr:pic>
    <xdr:clientData/>
  </xdr:twoCellAnchor>
  <xdr:twoCellAnchor editAs="oneCell">
    <xdr:from>
      <xdr:col>9</xdr:col>
      <xdr:colOff>619125</xdr:colOff>
      <xdr:row>0</xdr:row>
      <xdr:rowOff>0</xdr:rowOff>
    </xdr:from>
    <xdr:to>
      <xdr:col>11</xdr:col>
      <xdr:colOff>295275</xdr:colOff>
      <xdr:row>3</xdr:row>
      <xdr:rowOff>161925</xdr:rowOff>
    </xdr:to>
    <xdr:pic>
      <xdr:nvPicPr>
        <xdr:cNvPr id="5" name="Picture 4">
          <a:extLst>
            <a:ext uri="{FF2B5EF4-FFF2-40B4-BE49-F238E27FC236}">
              <a16:creationId xmlns:a16="http://schemas.microsoft.com/office/drawing/2014/main" id="{421D178F-5704-4C07-9880-42187CABDE33}"/>
            </a:ext>
          </a:extLst>
        </xdr:cNvPr>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Lst>
        </a:blip>
        <a:stretch>
          <a:fillRect/>
        </a:stretch>
      </xdr:blipFill>
      <xdr:spPr>
        <a:xfrm>
          <a:off x="6619875" y="0"/>
          <a:ext cx="1352550" cy="733425"/>
        </a:xfrm>
        <a:prstGeom prst="rect">
          <a:avLst/>
        </a:prstGeom>
      </xdr:spPr>
    </xdr:pic>
    <xdr:clientData/>
  </xdr:twoCellAnchor>
</xdr:wsDr>
</file>

<file path=xl/drawings/drawing17.xml><?xml version="1.0" encoding="utf-8"?>
<xdr:wsDr xmlns:xdr="http://schemas.openxmlformats.org/drawingml/2006/spreadsheetDrawing" xmlns:a="http://schemas.openxmlformats.org/drawingml/2006/main">
  <xdr:twoCellAnchor>
    <xdr:from>
      <xdr:col>3</xdr:col>
      <xdr:colOff>358140</xdr:colOff>
      <xdr:row>1</xdr:row>
      <xdr:rowOff>224790</xdr:rowOff>
    </xdr:from>
    <xdr:to>
      <xdr:col>5</xdr:col>
      <xdr:colOff>561340</xdr:colOff>
      <xdr:row>4</xdr:row>
      <xdr:rowOff>224790</xdr:rowOff>
    </xdr:to>
    <xdr:sp macro="" textlink="">
      <xdr:nvSpPr>
        <xdr:cNvPr id="2" name="Rectangle 1">
          <a:hlinkClick xmlns:r="http://schemas.openxmlformats.org/officeDocument/2006/relationships" r:id="rId1" tooltip="Cash-Flow"/>
          <a:extLst>
            <a:ext uri="{FF2B5EF4-FFF2-40B4-BE49-F238E27FC236}">
              <a16:creationId xmlns:a16="http://schemas.microsoft.com/office/drawing/2014/main" id="{3D16A6E1-710A-4569-9445-AFD0C5BB1F7F}"/>
            </a:ext>
          </a:extLst>
        </xdr:cNvPr>
        <xdr:cNvSpPr/>
      </xdr:nvSpPr>
      <xdr:spPr>
        <a:xfrm>
          <a:off x="2381250" y="407670"/>
          <a:ext cx="1971040" cy="754380"/>
        </a:xfrm>
        <a:prstGeom prst="rect">
          <a:avLst/>
        </a:prstGeom>
      </xdr:spPr>
      <xdr:style>
        <a:lnRef idx="0">
          <a:schemeClr val="accent5"/>
        </a:lnRef>
        <a:fillRef idx="3">
          <a:schemeClr val="accent5"/>
        </a:fillRef>
        <a:effectRef idx="3">
          <a:schemeClr val="accent5"/>
        </a:effectRef>
        <a:fontRef idx="minor">
          <a:schemeClr val="lt1"/>
        </a:fontRef>
      </xdr:style>
      <xdr:txBody>
        <a:bodyPr vertOverflow="clip" horzOverflow="clip" rtlCol="0" anchor="ctr"/>
        <a:lstStyle/>
        <a:p>
          <a:pPr algn="ctr"/>
          <a:r>
            <a:rPr lang="en-IN" sz="1400" b="1"/>
            <a:t>Click Here for </a:t>
          </a:r>
        </a:p>
        <a:p>
          <a:pPr algn="ctr"/>
          <a:r>
            <a:rPr lang="en-IN" sz="1400" b="1"/>
            <a:t>Detailed Cash-Flow</a:t>
          </a:r>
          <a:r>
            <a:rPr lang="en-IN" sz="1400" b="1" baseline="0"/>
            <a:t> (Month-wise SWP)</a:t>
          </a:r>
          <a:endParaRPr lang="en-IN" sz="1400" b="1"/>
        </a:p>
      </xdr:txBody>
    </xdr:sp>
    <xdr:clientData/>
  </xdr:twoCellAnchor>
  <xdr:twoCellAnchor editAs="oneCell">
    <xdr:from>
      <xdr:col>12</xdr:col>
      <xdr:colOff>161291</xdr:colOff>
      <xdr:row>0</xdr:row>
      <xdr:rowOff>64770</xdr:rowOff>
    </xdr:from>
    <xdr:to>
      <xdr:col>15</xdr:col>
      <xdr:colOff>68581</xdr:colOff>
      <xdr:row>1</xdr:row>
      <xdr:rowOff>200986</xdr:rowOff>
    </xdr:to>
    <xdr:pic>
      <xdr:nvPicPr>
        <xdr:cNvPr id="6" name="Picture 5">
          <a:hlinkClick xmlns:r="http://schemas.openxmlformats.org/officeDocument/2006/relationships" r:id="rId2" tooltip="MAIN MENU"/>
          <a:extLst>
            <a:ext uri="{FF2B5EF4-FFF2-40B4-BE49-F238E27FC236}">
              <a16:creationId xmlns:a16="http://schemas.microsoft.com/office/drawing/2014/main" id="{FCD5286A-C4DE-4F0E-A14F-33C5DAD3AB60}"/>
            </a:ext>
          </a:extLst>
        </xdr:cNvPr>
        <xdr:cNvPicPr>
          <a:picLocks noChangeAspect="1" noChangeArrowheads="1"/>
        </xdr:cNvPicPr>
      </xdr:nvPicPr>
      <xdr:blipFill>
        <a:blip xmlns:r="http://schemas.openxmlformats.org/officeDocument/2006/relationships" r:embed="rId3"/>
        <a:srcRect/>
        <a:stretch>
          <a:fillRect/>
        </a:stretch>
      </xdr:blipFill>
      <xdr:spPr bwMode="auto">
        <a:xfrm>
          <a:off x="9385301" y="64770"/>
          <a:ext cx="1103630" cy="319096"/>
        </a:xfrm>
        <a:prstGeom prst="roundRect">
          <a:avLst>
            <a:gd name="adj" fmla="val 4167"/>
          </a:avLst>
        </a:prstGeom>
        <a:solidFill>
          <a:srgbClr val="FFFFFF"/>
        </a:solidFill>
        <a:ln w="76200" cap="sq">
          <a:solidFill>
            <a:srgbClr val="292929"/>
          </a:solidFill>
          <a:miter lim="800000"/>
        </a:ln>
        <a:effectLst>
          <a:reflection blurRad="12700" stA="28000" endPos="28000" dist="5000" dir="5400000" sy="-100000" algn="bl" rotWithShape="0"/>
        </a:effectLst>
        <a:scene3d>
          <a:camera prst="orthographicFront"/>
          <a:lightRig rig="threePt" dir="t">
            <a:rot lat="0" lon="0" rev="2700000"/>
          </a:lightRig>
        </a:scene3d>
        <a:sp3d>
          <a:bevelT h="38100"/>
          <a:contourClr>
            <a:srgbClr val="C0C0C0"/>
          </a:contourClr>
        </a:sp3d>
      </xdr:spPr>
    </xdr:pic>
    <xdr:clientData fPrintsWithSheet="0"/>
  </xdr:twoCellAnchor>
  <xdr:twoCellAnchor editAs="oneCell">
    <xdr:from>
      <xdr:col>12</xdr:col>
      <xdr:colOff>133350</xdr:colOff>
      <xdr:row>2</xdr:row>
      <xdr:rowOff>76200</xdr:rowOff>
    </xdr:from>
    <xdr:to>
      <xdr:col>15</xdr:col>
      <xdr:colOff>152400</xdr:colOff>
      <xdr:row>7</xdr:row>
      <xdr:rowOff>44506</xdr:rowOff>
    </xdr:to>
    <xdr:pic>
      <xdr:nvPicPr>
        <xdr:cNvPr id="4" name="Picture 3">
          <a:extLst>
            <a:ext uri="{FF2B5EF4-FFF2-40B4-BE49-F238E27FC236}">
              <a16:creationId xmlns:a16="http://schemas.microsoft.com/office/drawing/2014/main" id="{B8790306-0CD8-454A-9C0E-5D0714F8A7E4}"/>
            </a:ext>
          </a:extLst>
        </xdr:cNvPr>
        <xdr:cNvPicPr>
          <a:picLocks noChangeAspect="1"/>
        </xdr:cNvPicPr>
      </xdr:nvPicPr>
      <xdr:blipFill>
        <a:blip xmlns:r="http://schemas.openxmlformats.org/officeDocument/2006/relationships" r:embed="rId4">
          <a:extLst>
            <a:ext uri="{28A0092B-C50C-407E-A947-70E740481C1C}">
              <a14:useLocalDpi xmlns:a14="http://schemas.microsoft.com/office/drawing/2010/main" val="0"/>
            </a:ext>
          </a:extLst>
        </a:blip>
        <a:stretch>
          <a:fillRect/>
        </a:stretch>
      </xdr:blipFill>
      <xdr:spPr>
        <a:xfrm>
          <a:off x="9077325" y="514350"/>
          <a:ext cx="1181100" cy="1092256"/>
        </a:xfrm>
        <a:prstGeom prst="rect">
          <a:avLst/>
        </a:prstGeom>
      </xdr:spPr>
    </xdr:pic>
    <xdr:clientData/>
  </xdr:twoCellAnchor>
</xdr:wsDr>
</file>

<file path=xl/drawings/drawing18.xml><?xml version="1.0" encoding="utf-8"?>
<xdr:wsDr xmlns:xdr="http://schemas.openxmlformats.org/drawingml/2006/spreadsheetDrawing" xmlns:a="http://schemas.openxmlformats.org/drawingml/2006/main">
  <xdr:twoCellAnchor editAs="oneCell">
    <xdr:from>
      <xdr:col>9</xdr:col>
      <xdr:colOff>31096</xdr:colOff>
      <xdr:row>0</xdr:row>
      <xdr:rowOff>153162</xdr:rowOff>
    </xdr:from>
    <xdr:to>
      <xdr:col>9</xdr:col>
      <xdr:colOff>605790</xdr:colOff>
      <xdr:row>3</xdr:row>
      <xdr:rowOff>41290</xdr:rowOff>
    </xdr:to>
    <xdr:pic>
      <xdr:nvPicPr>
        <xdr:cNvPr id="4" name="Picture 3">
          <a:hlinkClick xmlns:r="http://schemas.openxmlformats.org/officeDocument/2006/relationships" r:id="rId1" tooltip="Back"/>
          <a:extLst>
            <a:ext uri="{FF2B5EF4-FFF2-40B4-BE49-F238E27FC236}">
              <a16:creationId xmlns:a16="http://schemas.microsoft.com/office/drawing/2014/main" id="{AA86959B-C9C0-4905-A5B2-46FD45A1E1FF}"/>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6203296" y="153162"/>
          <a:ext cx="574694" cy="436768"/>
        </a:xfrm>
        <a:prstGeom prst="rect">
          <a:avLst/>
        </a:prstGeom>
      </xdr:spPr>
    </xdr:pic>
    <xdr:clientData/>
  </xdr:twoCellAnchor>
  <xdr:twoCellAnchor editAs="oneCell">
    <xdr:from>
      <xdr:col>9</xdr:col>
      <xdr:colOff>495300</xdr:colOff>
      <xdr:row>0</xdr:row>
      <xdr:rowOff>47625</xdr:rowOff>
    </xdr:from>
    <xdr:to>
      <xdr:col>11</xdr:col>
      <xdr:colOff>304800</xdr:colOff>
      <xdr:row>3</xdr:row>
      <xdr:rowOff>180975</xdr:rowOff>
    </xdr:to>
    <xdr:pic>
      <xdr:nvPicPr>
        <xdr:cNvPr id="5" name="Picture 4">
          <a:extLst>
            <a:ext uri="{FF2B5EF4-FFF2-40B4-BE49-F238E27FC236}">
              <a16:creationId xmlns:a16="http://schemas.microsoft.com/office/drawing/2014/main" id="{7990A6A1-196A-479D-8A6B-13A7F4474F07}"/>
            </a:ext>
          </a:extLst>
        </xdr:cNvPr>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Lst>
        </a:blip>
        <a:stretch>
          <a:fillRect/>
        </a:stretch>
      </xdr:blipFill>
      <xdr:spPr>
        <a:xfrm>
          <a:off x="6496050" y="47625"/>
          <a:ext cx="1485900" cy="704850"/>
        </a:xfrm>
        <a:prstGeom prst="rect">
          <a:avLst/>
        </a:prstGeom>
      </xdr:spPr>
    </xdr:pic>
    <xdr:clientData/>
  </xdr:twoCellAnchor>
</xdr:wsDr>
</file>

<file path=xl/drawings/drawing19.xml><?xml version="1.0" encoding="utf-8"?>
<xdr:wsDr xmlns:xdr="http://schemas.openxmlformats.org/drawingml/2006/spreadsheetDrawing" xmlns:a="http://schemas.openxmlformats.org/drawingml/2006/main">
  <xdr:twoCellAnchor>
    <xdr:from>
      <xdr:col>4</xdr:col>
      <xdr:colOff>323850</xdr:colOff>
      <xdr:row>9</xdr:row>
      <xdr:rowOff>247650</xdr:rowOff>
    </xdr:from>
    <xdr:to>
      <xdr:col>7</xdr:col>
      <xdr:colOff>19050</xdr:colOff>
      <xdr:row>10</xdr:row>
      <xdr:rowOff>377825</xdr:rowOff>
    </xdr:to>
    <xdr:sp macro="" textlink="">
      <xdr:nvSpPr>
        <xdr:cNvPr id="2" name="Rounded Rectangle 1">
          <a:hlinkClick xmlns:r="http://schemas.openxmlformats.org/officeDocument/2006/relationships" r:id="rId1" tooltip="RESULT"/>
          <a:extLst>
            <a:ext uri="{FF2B5EF4-FFF2-40B4-BE49-F238E27FC236}">
              <a16:creationId xmlns:a16="http://schemas.microsoft.com/office/drawing/2014/main" id="{238652C3-9518-45EB-99F3-BD04F9A37E52}"/>
            </a:ext>
          </a:extLst>
        </xdr:cNvPr>
        <xdr:cNvSpPr/>
      </xdr:nvSpPr>
      <xdr:spPr>
        <a:xfrm>
          <a:off x="5435600" y="2870200"/>
          <a:ext cx="1524000" cy="511175"/>
        </a:xfrm>
        <a:prstGeom prst="roundRect">
          <a:avLst/>
        </a:prstGeom>
      </xdr:spPr>
      <xdr:style>
        <a:lnRef idx="0">
          <a:schemeClr val="accent5"/>
        </a:lnRef>
        <a:fillRef idx="3">
          <a:schemeClr val="accent5"/>
        </a:fillRef>
        <a:effectRef idx="3">
          <a:schemeClr val="accent5"/>
        </a:effectRef>
        <a:fontRef idx="minor">
          <a:schemeClr val="lt1"/>
        </a:fontRef>
      </xdr:style>
      <xdr:txBody>
        <a:bodyPr vertOverflow="clip" horzOverflow="clip" rtlCol="0" anchor="ctr"/>
        <a:lstStyle/>
        <a:p>
          <a:pPr algn="ctr"/>
          <a:r>
            <a:rPr lang="en-US" sz="2000" b="1"/>
            <a:t>RESULT</a:t>
          </a:r>
        </a:p>
      </xdr:txBody>
    </xdr:sp>
    <xdr:clientData/>
  </xdr:twoCellAnchor>
  <xdr:twoCellAnchor editAs="oneCell">
    <xdr:from>
      <xdr:col>4</xdr:col>
      <xdr:colOff>114300</xdr:colOff>
      <xdr:row>0</xdr:row>
      <xdr:rowOff>0</xdr:rowOff>
    </xdr:from>
    <xdr:to>
      <xdr:col>13</xdr:col>
      <xdr:colOff>266700</xdr:colOff>
      <xdr:row>9</xdr:row>
      <xdr:rowOff>97048</xdr:rowOff>
    </xdr:to>
    <xdr:pic>
      <xdr:nvPicPr>
        <xdr:cNvPr id="3" name="Picture 2">
          <a:extLst>
            <a:ext uri="{FF2B5EF4-FFF2-40B4-BE49-F238E27FC236}">
              <a16:creationId xmlns:a16="http://schemas.microsoft.com/office/drawing/2014/main" id="{BFBC1CB1-7DD5-4166-8E93-A264F5D5C61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5226050" y="0"/>
          <a:ext cx="5638800" cy="2719598"/>
        </a:xfrm>
        <a:prstGeom prst="rect">
          <a:avLst/>
        </a:prstGeom>
      </xdr:spPr>
    </xdr:pic>
    <xdr:clientData/>
  </xdr:twoCellAnchor>
  <xdr:twoCellAnchor editAs="oneCell">
    <xdr:from>
      <xdr:col>10</xdr:col>
      <xdr:colOff>361950</xdr:colOff>
      <xdr:row>9</xdr:row>
      <xdr:rowOff>266700</xdr:rowOff>
    </xdr:from>
    <xdr:to>
      <xdr:col>13</xdr:col>
      <xdr:colOff>187325</xdr:colOff>
      <xdr:row>10</xdr:row>
      <xdr:rowOff>358775</xdr:rowOff>
    </xdr:to>
    <xdr:pic>
      <xdr:nvPicPr>
        <xdr:cNvPr id="4" name="Picture 3">
          <a:hlinkClick xmlns:r="http://schemas.openxmlformats.org/officeDocument/2006/relationships" r:id="rId3" tooltip="MAIN MENU"/>
          <a:extLst>
            <a:ext uri="{FF2B5EF4-FFF2-40B4-BE49-F238E27FC236}">
              <a16:creationId xmlns:a16="http://schemas.microsoft.com/office/drawing/2014/main" id="{1C883B58-1978-444C-8288-A19770CBF308}"/>
            </a:ext>
          </a:extLst>
        </xdr:cNvPr>
        <xdr:cNvPicPr>
          <a:picLocks noChangeAspect="1" noChangeArrowheads="1"/>
        </xdr:cNvPicPr>
      </xdr:nvPicPr>
      <xdr:blipFill>
        <a:blip xmlns:r="http://schemas.openxmlformats.org/officeDocument/2006/relationships" r:embed="rId4"/>
        <a:srcRect/>
        <a:stretch>
          <a:fillRect/>
        </a:stretch>
      </xdr:blipFill>
      <xdr:spPr bwMode="auto">
        <a:xfrm>
          <a:off x="9131300" y="2889250"/>
          <a:ext cx="1654175" cy="473075"/>
        </a:xfrm>
        <a:prstGeom prst="roundRect">
          <a:avLst>
            <a:gd name="adj" fmla="val 4167"/>
          </a:avLst>
        </a:prstGeom>
        <a:solidFill>
          <a:srgbClr val="FFFFFF"/>
        </a:solidFill>
        <a:ln w="76200" cap="sq">
          <a:solidFill>
            <a:srgbClr val="292929"/>
          </a:solidFill>
          <a:miter lim="800000"/>
        </a:ln>
        <a:effectLst>
          <a:reflection blurRad="12700" stA="28000" endPos="28000" dist="5000" dir="5400000" sy="-100000" algn="bl" rotWithShape="0"/>
        </a:effectLst>
        <a:scene3d>
          <a:camera prst="orthographicFront"/>
          <a:lightRig rig="threePt" dir="t">
            <a:rot lat="0" lon="0" rev="2700000"/>
          </a:lightRig>
        </a:scene3d>
        <a:sp3d>
          <a:bevelT h="38100"/>
          <a:contourClr>
            <a:srgbClr val="C0C0C0"/>
          </a:contourClr>
        </a:sp3d>
      </xdr:spPr>
    </xdr:pic>
    <xdr:clientData fPrintsWithSheet="0"/>
  </xdr:twoCellAnchor>
</xdr:wsDr>
</file>

<file path=xl/drawings/drawing2.xml><?xml version="1.0" encoding="utf-8"?>
<xdr:wsDr xmlns:xdr="http://schemas.openxmlformats.org/drawingml/2006/spreadsheetDrawing" xmlns:a="http://schemas.openxmlformats.org/drawingml/2006/main">
  <xdr:twoCellAnchor>
    <xdr:from>
      <xdr:col>8</xdr:col>
      <xdr:colOff>95250</xdr:colOff>
      <xdr:row>1</xdr:row>
      <xdr:rowOff>66675</xdr:rowOff>
    </xdr:from>
    <xdr:to>
      <xdr:col>13</xdr:col>
      <xdr:colOff>304800</xdr:colOff>
      <xdr:row>20</xdr:row>
      <xdr:rowOff>9525</xdr:rowOff>
    </xdr:to>
    <xdr:graphicFrame macro="">
      <xdr:nvGraphicFramePr>
        <xdr:cNvPr id="2" name="Chart 1">
          <a:extLst>
            <a:ext uri="{FF2B5EF4-FFF2-40B4-BE49-F238E27FC236}">
              <a16:creationId xmlns:a16="http://schemas.microsoft.com/office/drawing/2014/main" id="{00000000-0008-0000-01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14</xdr:col>
      <xdr:colOff>123825</xdr:colOff>
      <xdr:row>4</xdr:row>
      <xdr:rowOff>155575</xdr:rowOff>
    </xdr:from>
    <xdr:to>
      <xdr:col>16</xdr:col>
      <xdr:colOff>495300</xdr:colOff>
      <xdr:row>7</xdr:row>
      <xdr:rowOff>19050</xdr:rowOff>
    </xdr:to>
    <xdr:pic>
      <xdr:nvPicPr>
        <xdr:cNvPr id="5" name="Picture 4">
          <a:hlinkClick xmlns:r="http://schemas.openxmlformats.org/officeDocument/2006/relationships" r:id="rId2" tooltip="MAIN MENU"/>
          <a:extLst>
            <a:ext uri="{FF2B5EF4-FFF2-40B4-BE49-F238E27FC236}">
              <a16:creationId xmlns:a16="http://schemas.microsoft.com/office/drawing/2014/main" id="{00000000-0008-0000-0100-000005000000}"/>
            </a:ext>
          </a:extLst>
        </xdr:cNvPr>
        <xdr:cNvPicPr>
          <a:picLocks noChangeAspect="1" noChangeArrowheads="1"/>
        </xdr:cNvPicPr>
      </xdr:nvPicPr>
      <xdr:blipFill>
        <a:blip xmlns:r="http://schemas.openxmlformats.org/officeDocument/2006/relationships" r:embed="rId3"/>
        <a:srcRect/>
        <a:stretch>
          <a:fillRect/>
        </a:stretch>
      </xdr:blipFill>
      <xdr:spPr bwMode="auto">
        <a:xfrm>
          <a:off x="10563225" y="1108075"/>
          <a:ext cx="1654175" cy="473075"/>
        </a:xfrm>
        <a:prstGeom prst="roundRect">
          <a:avLst>
            <a:gd name="adj" fmla="val 4167"/>
          </a:avLst>
        </a:prstGeom>
        <a:solidFill>
          <a:srgbClr val="FFFFFF"/>
        </a:solidFill>
        <a:ln w="76200" cap="sq">
          <a:solidFill>
            <a:srgbClr val="292929"/>
          </a:solidFill>
          <a:miter lim="800000"/>
        </a:ln>
        <a:effectLst>
          <a:reflection blurRad="12700" stA="28000" endPos="28000" dist="5000" dir="5400000" sy="-100000" algn="bl" rotWithShape="0"/>
        </a:effectLst>
        <a:scene3d>
          <a:camera prst="orthographicFront"/>
          <a:lightRig rig="threePt" dir="t">
            <a:rot lat="0" lon="0" rev="2700000"/>
          </a:lightRig>
        </a:scene3d>
        <a:sp3d>
          <a:bevelT h="38100"/>
          <a:contourClr>
            <a:srgbClr val="C0C0C0"/>
          </a:contourClr>
        </a:sp3d>
      </xdr:spPr>
    </xdr:pic>
    <xdr:clientData fPrintsWithSheet="0"/>
  </xdr:twoCellAnchor>
  <xdr:twoCellAnchor editAs="oneCell">
    <xdr:from>
      <xdr:col>13</xdr:col>
      <xdr:colOff>409575</xdr:colOff>
      <xdr:row>0</xdr:row>
      <xdr:rowOff>114300</xdr:rowOff>
    </xdr:from>
    <xdr:to>
      <xdr:col>16</xdr:col>
      <xdr:colOff>533400</xdr:colOff>
      <xdr:row>4</xdr:row>
      <xdr:rowOff>76200</xdr:rowOff>
    </xdr:to>
    <xdr:pic>
      <xdr:nvPicPr>
        <xdr:cNvPr id="8" name="Picture 7">
          <a:extLst>
            <a:ext uri="{FF2B5EF4-FFF2-40B4-BE49-F238E27FC236}">
              <a16:creationId xmlns:a16="http://schemas.microsoft.com/office/drawing/2014/main" id="{AE1DA97E-607A-42DD-A586-2CEB236B5C3E}"/>
            </a:ext>
          </a:extLst>
        </xdr:cNvPr>
        <xdr:cNvPicPr>
          <a:picLocks noChangeAspect="1"/>
        </xdr:cNvPicPr>
      </xdr:nvPicPr>
      <xdr:blipFill>
        <a:blip xmlns:r="http://schemas.openxmlformats.org/officeDocument/2006/relationships" r:embed="rId4">
          <a:extLst>
            <a:ext uri="{28A0092B-C50C-407E-A947-70E740481C1C}">
              <a14:useLocalDpi xmlns:a14="http://schemas.microsoft.com/office/drawing/2010/main" val="0"/>
            </a:ext>
          </a:extLst>
        </a:blip>
        <a:stretch>
          <a:fillRect/>
        </a:stretch>
      </xdr:blipFill>
      <xdr:spPr>
        <a:xfrm>
          <a:off x="9925050" y="114300"/>
          <a:ext cx="1781175" cy="904875"/>
        </a:xfrm>
        <a:prstGeom prst="rect">
          <a:avLst/>
        </a:prstGeom>
      </xdr:spPr>
    </xdr:pic>
    <xdr:clientData/>
  </xdr:twoCellAnchor>
</xdr:wsDr>
</file>

<file path=xl/drawings/drawing20.xml><?xml version="1.0" encoding="utf-8"?>
<xdr:wsDr xmlns:xdr="http://schemas.openxmlformats.org/drawingml/2006/spreadsheetDrawing" xmlns:a="http://schemas.openxmlformats.org/drawingml/2006/main">
  <xdr:twoCellAnchor>
    <xdr:from>
      <xdr:col>5</xdr:col>
      <xdr:colOff>301625</xdr:colOff>
      <xdr:row>8</xdr:row>
      <xdr:rowOff>222250</xdr:rowOff>
    </xdr:from>
    <xdr:to>
      <xdr:col>7</xdr:col>
      <xdr:colOff>606425</xdr:colOff>
      <xdr:row>9</xdr:row>
      <xdr:rowOff>352425</xdr:rowOff>
    </xdr:to>
    <xdr:sp macro="" textlink="">
      <xdr:nvSpPr>
        <xdr:cNvPr id="2" name="Rounded Rectangle 1">
          <a:hlinkClick xmlns:r="http://schemas.openxmlformats.org/officeDocument/2006/relationships" r:id="rId1" tooltip="RESULT"/>
          <a:extLst>
            <a:ext uri="{FF2B5EF4-FFF2-40B4-BE49-F238E27FC236}">
              <a16:creationId xmlns:a16="http://schemas.microsoft.com/office/drawing/2014/main" id="{2CABBA60-DCC5-44EF-BE09-529CC00174D6}"/>
            </a:ext>
          </a:extLst>
        </xdr:cNvPr>
        <xdr:cNvSpPr/>
      </xdr:nvSpPr>
      <xdr:spPr>
        <a:xfrm>
          <a:off x="6022975" y="2292350"/>
          <a:ext cx="1524000" cy="511175"/>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2000" b="1"/>
            <a:t>RESULT</a:t>
          </a:r>
        </a:p>
      </xdr:txBody>
    </xdr:sp>
    <xdr:clientData/>
  </xdr:twoCellAnchor>
  <xdr:twoCellAnchor editAs="oneCell">
    <xdr:from>
      <xdr:col>0</xdr:col>
      <xdr:colOff>114300</xdr:colOff>
      <xdr:row>0</xdr:row>
      <xdr:rowOff>66675</xdr:rowOff>
    </xdr:from>
    <xdr:to>
      <xdr:col>3</xdr:col>
      <xdr:colOff>190500</xdr:colOff>
      <xdr:row>2</xdr:row>
      <xdr:rowOff>142875</xdr:rowOff>
    </xdr:to>
    <xdr:pic>
      <xdr:nvPicPr>
        <xdr:cNvPr id="3" name="Picture 2">
          <a:extLst>
            <a:ext uri="{FF2B5EF4-FFF2-40B4-BE49-F238E27FC236}">
              <a16:creationId xmlns:a16="http://schemas.microsoft.com/office/drawing/2014/main" id="{11B20770-6D73-4455-AF86-7A185C4C98D7}"/>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114300" y="66675"/>
          <a:ext cx="1905000" cy="444500"/>
        </a:xfrm>
        <a:prstGeom prst="rect">
          <a:avLst/>
        </a:prstGeom>
      </xdr:spPr>
    </xdr:pic>
    <xdr:clientData/>
  </xdr:twoCellAnchor>
</xdr:wsDr>
</file>

<file path=xl/drawings/drawing21.xml><?xml version="1.0" encoding="utf-8"?>
<xdr:wsDr xmlns:xdr="http://schemas.openxmlformats.org/drawingml/2006/spreadsheetDrawing" xmlns:a="http://schemas.openxmlformats.org/drawingml/2006/main">
  <xdr:twoCellAnchor>
    <xdr:from>
      <xdr:col>5</xdr:col>
      <xdr:colOff>301625</xdr:colOff>
      <xdr:row>8</xdr:row>
      <xdr:rowOff>209550</xdr:rowOff>
    </xdr:from>
    <xdr:to>
      <xdr:col>7</xdr:col>
      <xdr:colOff>606425</xdr:colOff>
      <xdr:row>9</xdr:row>
      <xdr:rowOff>339725</xdr:rowOff>
    </xdr:to>
    <xdr:sp macro="" textlink="">
      <xdr:nvSpPr>
        <xdr:cNvPr id="2" name="Rounded Rectangle 1">
          <a:hlinkClick xmlns:r="http://schemas.openxmlformats.org/officeDocument/2006/relationships" r:id="rId1" tooltip="RESULT"/>
          <a:extLst>
            <a:ext uri="{FF2B5EF4-FFF2-40B4-BE49-F238E27FC236}">
              <a16:creationId xmlns:a16="http://schemas.microsoft.com/office/drawing/2014/main" id="{8DC6D770-BB89-47D3-9335-9DEC28F9E59E}"/>
            </a:ext>
          </a:extLst>
        </xdr:cNvPr>
        <xdr:cNvSpPr/>
      </xdr:nvSpPr>
      <xdr:spPr>
        <a:xfrm>
          <a:off x="6022975" y="2279650"/>
          <a:ext cx="1524000" cy="511175"/>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2000" b="1"/>
            <a:t>RESULT</a:t>
          </a:r>
        </a:p>
      </xdr:txBody>
    </xdr:sp>
    <xdr:clientData/>
  </xdr:twoCellAnchor>
  <xdr:twoCellAnchor editAs="oneCell">
    <xdr:from>
      <xdr:col>0</xdr:col>
      <xdr:colOff>114300</xdr:colOff>
      <xdr:row>0</xdr:row>
      <xdr:rowOff>66675</xdr:rowOff>
    </xdr:from>
    <xdr:to>
      <xdr:col>3</xdr:col>
      <xdr:colOff>190500</xdr:colOff>
      <xdr:row>2</xdr:row>
      <xdr:rowOff>142875</xdr:rowOff>
    </xdr:to>
    <xdr:pic>
      <xdr:nvPicPr>
        <xdr:cNvPr id="3" name="Picture 2">
          <a:extLst>
            <a:ext uri="{FF2B5EF4-FFF2-40B4-BE49-F238E27FC236}">
              <a16:creationId xmlns:a16="http://schemas.microsoft.com/office/drawing/2014/main" id="{334D5C35-48CD-4EB3-ACFF-3E0A930CD88E}"/>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114300" y="66675"/>
          <a:ext cx="1905000" cy="444500"/>
        </a:xfrm>
        <a:prstGeom prst="rect">
          <a:avLst/>
        </a:prstGeom>
      </xdr:spPr>
    </xdr:pic>
    <xdr:clientData/>
  </xdr:twoCellAnchor>
</xdr:wsDr>
</file>

<file path=xl/drawings/drawing22.xml><?xml version="1.0" encoding="utf-8"?>
<xdr:wsDr xmlns:xdr="http://schemas.openxmlformats.org/drawingml/2006/spreadsheetDrawing" xmlns:a="http://schemas.openxmlformats.org/drawingml/2006/main">
  <xdr:twoCellAnchor>
    <xdr:from>
      <xdr:col>5</xdr:col>
      <xdr:colOff>38100</xdr:colOff>
      <xdr:row>36</xdr:row>
      <xdr:rowOff>19050</xdr:rowOff>
    </xdr:from>
    <xdr:to>
      <xdr:col>5</xdr:col>
      <xdr:colOff>571500</xdr:colOff>
      <xdr:row>36</xdr:row>
      <xdr:rowOff>19050</xdr:rowOff>
    </xdr:to>
    <xdr:cxnSp macro="">
      <xdr:nvCxnSpPr>
        <xdr:cNvPr id="2" name="Straight Arrow Connector 1">
          <a:extLst>
            <a:ext uri="{FF2B5EF4-FFF2-40B4-BE49-F238E27FC236}">
              <a16:creationId xmlns:a16="http://schemas.microsoft.com/office/drawing/2014/main" id="{DD19A6EB-DD8F-4E59-9F90-842DEE0C73AD}"/>
            </a:ext>
          </a:extLst>
        </xdr:cNvPr>
        <xdr:cNvCxnSpPr/>
      </xdr:nvCxnSpPr>
      <xdr:spPr>
        <a:xfrm flipH="1">
          <a:off x="3549650" y="6896100"/>
          <a:ext cx="533400" cy="0"/>
        </a:xfrm>
        <a:prstGeom prst="straightConnector1">
          <a:avLst/>
        </a:prstGeom>
        <a:ln w="2540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25400</xdr:colOff>
      <xdr:row>35</xdr:row>
      <xdr:rowOff>184150</xdr:rowOff>
    </xdr:from>
    <xdr:to>
      <xdr:col>14</xdr:col>
      <xdr:colOff>374650</xdr:colOff>
      <xdr:row>35</xdr:row>
      <xdr:rowOff>184150</xdr:rowOff>
    </xdr:to>
    <xdr:cxnSp macro="">
      <xdr:nvCxnSpPr>
        <xdr:cNvPr id="3" name="Straight Arrow Connector 2">
          <a:extLst>
            <a:ext uri="{FF2B5EF4-FFF2-40B4-BE49-F238E27FC236}">
              <a16:creationId xmlns:a16="http://schemas.microsoft.com/office/drawing/2014/main" id="{F348CEAE-29BF-4567-9EBA-37F55DFC7D5E}"/>
            </a:ext>
          </a:extLst>
        </xdr:cNvPr>
        <xdr:cNvCxnSpPr/>
      </xdr:nvCxnSpPr>
      <xdr:spPr>
        <a:xfrm flipH="1">
          <a:off x="10375900" y="6870700"/>
          <a:ext cx="349250" cy="0"/>
        </a:xfrm>
        <a:prstGeom prst="straightConnector1">
          <a:avLst/>
        </a:prstGeom>
        <a:ln w="2540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38100</xdr:colOff>
      <xdr:row>38</xdr:row>
      <xdr:rowOff>19050</xdr:rowOff>
    </xdr:from>
    <xdr:to>
      <xdr:col>5</xdr:col>
      <xdr:colOff>571500</xdr:colOff>
      <xdr:row>38</xdr:row>
      <xdr:rowOff>19050</xdr:rowOff>
    </xdr:to>
    <xdr:cxnSp macro="">
      <xdr:nvCxnSpPr>
        <xdr:cNvPr id="4" name="Straight Arrow Connector 3">
          <a:extLst>
            <a:ext uri="{FF2B5EF4-FFF2-40B4-BE49-F238E27FC236}">
              <a16:creationId xmlns:a16="http://schemas.microsoft.com/office/drawing/2014/main" id="{36A0F887-CA49-493A-B4DF-F86F0E5D1127}"/>
            </a:ext>
          </a:extLst>
        </xdr:cNvPr>
        <xdr:cNvCxnSpPr/>
      </xdr:nvCxnSpPr>
      <xdr:spPr>
        <a:xfrm flipH="1">
          <a:off x="3549650" y="7277100"/>
          <a:ext cx="533400" cy="0"/>
        </a:xfrm>
        <a:prstGeom prst="straightConnector1">
          <a:avLst/>
        </a:prstGeom>
        <a:ln w="2540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25400</xdr:colOff>
      <xdr:row>37</xdr:row>
      <xdr:rowOff>184150</xdr:rowOff>
    </xdr:from>
    <xdr:to>
      <xdr:col>14</xdr:col>
      <xdr:colOff>374650</xdr:colOff>
      <xdr:row>37</xdr:row>
      <xdr:rowOff>184150</xdr:rowOff>
    </xdr:to>
    <xdr:cxnSp macro="">
      <xdr:nvCxnSpPr>
        <xdr:cNvPr id="5" name="Straight Arrow Connector 4">
          <a:extLst>
            <a:ext uri="{FF2B5EF4-FFF2-40B4-BE49-F238E27FC236}">
              <a16:creationId xmlns:a16="http://schemas.microsoft.com/office/drawing/2014/main" id="{0AE6DC32-E2FA-41AA-A3CB-16BC29A3E455}"/>
            </a:ext>
          </a:extLst>
        </xdr:cNvPr>
        <xdr:cNvCxnSpPr/>
      </xdr:nvCxnSpPr>
      <xdr:spPr>
        <a:xfrm flipH="1">
          <a:off x="10375900" y="7258050"/>
          <a:ext cx="349250" cy="0"/>
        </a:xfrm>
        <a:prstGeom prst="straightConnector1">
          <a:avLst/>
        </a:prstGeom>
        <a:ln w="2540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25400</xdr:colOff>
      <xdr:row>37</xdr:row>
      <xdr:rowOff>184150</xdr:rowOff>
    </xdr:from>
    <xdr:to>
      <xdr:col>14</xdr:col>
      <xdr:colOff>374650</xdr:colOff>
      <xdr:row>37</xdr:row>
      <xdr:rowOff>184150</xdr:rowOff>
    </xdr:to>
    <xdr:cxnSp macro="">
      <xdr:nvCxnSpPr>
        <xdr:cNvPr id="6" name="Straight Arrow Connector 5">
          <a:extLst>
            <a:ext uri="{FF2B5EF4-FFF2-40B4-BE49-F238E27FC236}">
              <a16:creationId xmlns:a16="http://schemas.microsoft.com/office/drawing/2014/main" id="{770F0666-5ED3-4465-AFED-1B4C3147A816}"/>
            </a:ext>
          </a:extLst>
        </xdr:cNvPr>
        <xdr:cNvCxnSpPr/>
      </xdr:nvCxnSpPr>
      <xdr:spPr>
        <a:xfrm flipH="1">
          <a:off x="10375900" y="7258050"/>
          <a:ext cx="349250" cy="0"/>
        </a:xfrm>
        <a:prstGeom prst="straightConnector1">
          <a:avLst/>
        </a:prstGeom>
        <a:ln w="2540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3</xdr:col>
      <xdr:colOff>15875</xdr:colOff>
      <xdr:row>18</xdr:row>
      <xdr:rowOff>95249</xdr:rowOff>
    </xdr:from>
    <xdr:to>
      <xdr:col>5</xdr:col>
      <xdr:colOff>673924</xdr:colOff>
      <xdr:row>22</xdr:row>
      <xdr:rowOff>39432</xdr:rowOff>
    </xdr:to>
    <xdr:pic>
      <xdr:nvPicPr>
        <xdr:cNvPr id="7" name="Picture 6">
          <a:hlinkClick xmlns:r="http://schemas.openxmlformats.org/officeDocument/2006/relationships" r:id="rId1" tooltip="Summary"/>
          <a:extLst>
            <a:ext uri="{FF2B5EF4-FFF2-40B4-BE49-F238E27FC236}">
              <a16:creationId xmlns:a16="http://schemas.microsoft.com/office/drawing/2014/main" id="{8C7DAF37-3C4D-467E-87A7-645D3BC7FB7D}"/>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2168525" y="3409949"/>
          <a:ext cx="2016949" cy="680783"/>
        </a:xfrm>
        <a:prstGeom prst="rect">
          <a:avLst/>
        </a:prstGeom>
      </xdr:spPr>
    </xdr:pic>
    <xdr:clientData/>
  </xdr:twoCellAnchor>
  <xdr:twoCellAnchor editAs="oneCell">
    <xdr:from>
      <xdr:col>6</xdr:col>
      <xdr:colOff>209241</xdr:colOff>
      <xdr:row>19</xdr:row>
      <xdr:rowOff>31750</xdr:rowOff>
    </xdr:from>
    <xdr:to>
      <xdr:col>7</xdr:col>
      <xdr:colOff>285750</xdr:colOff>
      <xdr:row>22</xdr:row>
      <xdr:rowOff>46038</xdr:rowOff>
    </xdr:to>
    <xdr:pic>
      <xdr:nvPicPr>
        <xdr:cNvPr id="8" name="Picture 7">
          <a:hlinkClick xmlns:r="http://schemas.openxmlformats.org/officeDocument/2006/relationships" r:id="rId3" tooltip="Back"/>
          <a:extLst>
            <a:ext uri="{FF2B5EF4-FFF2-40B4-BE49-F238E27FC236}">
              <a16:creationId xmlns:a16="http://schemas.microsoft.com/office/drawing/2014/main" id="{38D78440-752A-4FA1-AEF4-EA8FF5B0F1C1}"/>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4457391" y="3530600"/>
          <a:ext cx="813109" cy="566738"/>
        </a:xfrm>
        <a:prstGeom prst="rect">
          <a:avLst/>
        </a:prstGeom>
      </xdr:spPr>
    </xdr:pic>
    <xdr:clientData/>
  </xdr:twoCellAnchor>
  <xdr:twoCellAnchor editAs="oneCell">
    <xdr:from>
      <xdr:col>8</xdr:col>
      <xdr:colOff>202406</xdr:colOff>
      <xdr:row>14</xdr:row>
      <xdr:rowOff>142875</xdr:rowOff>
    </xdr:from>
    <xdr:to>
      <xdr:col>10</xdr:col>
      <xdr:colOff>607219</xdr:colOff>
      <xdr:row>23</xdr:row>
      <xdr:rowOff>101994</xdr:rowOff>
    </xdr:to>
    <xdr:pic>
      <xdr:nvPicPr>
        <xdr:cNvPr id="10" name="Picture 9">
          <a:extLst>
            <a:ext uri="{FF2B5EF4-FFF2-40B4-BE49-F238E27FC236}">
              <a16:creationId xmlns:a16="http://schemas.microsoft.com/office/drawing/2014/main" id="{528198C6-89A1-4895-9DB0-D8AEDCECD8CB}"/>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Lst>
        </a:blip>
        <a:stretch>
          <a:fillRect/>
        </a:stretch>
      </xdr:blipFill>
      <xdr:spPr>
        <a:xfrm>
          <a:off x="5655469" y="2809875"/>
          <a:ext cx="1809750" cy="1673619"/>
        </a:xfrm>
        <a:prstGeom prst="rect">
          <a:avLst/>
        </a:prstGeom>
      </xdr:spPr>
    </xdr:pic>
    <xdr:clientData/>
  </xdr:twoCellAnchor>
</xdr:wsDr>
</file>

<file path=xl/drawings/drawing23.xml><?xml version="1.0" encoding="utf-8"?>
<xdr:wsDr xmlns:xdr="http://schemas.openxmlformats.org/drawingml/2006/spreadsheetDrawing" xmlns:a="http://schemas.openxmlformats.org/drawingml/2006/main">
  <xdr:twoCellAnchor>
    <xdr:from>
      <xdr:col>5</xdr:col>
      <xdr:colOff>6350</xdr:colOff>
      <xdr:row>2</xdr:row>
      <xdr:rowOff>88900</xdr:rowOff>
    </xdr:from>
    <xdr:to>
      <xdr:col>11</xdr:col>
      <xdr:colOff>593272</xdr:colOff>
      <xdr:row>13</xdr:row>
      <xdr:rowOff>145143</xdr:rowOff>
    </xdr:to>
    <xdr:graphicFrame macro="">
      <xdr:nvGraphicFramePr>
        <xdr:cNvPr id="2" name="Chart 1">
          <a:extLst>
            <a:ext uri="{FF2B5EF4-FFF2-40B4-BE49-F238E27FC236}">
              <a16:creationId xmlns:a16="http://schemas.microsoft.com/office/drawing/2014/main" id="{9602F482-649A-4342-BB56-FA653F77537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6</xdr:col>
      <xdr:colOff>406401</xdr:colOff>
      <xdr:row>0</xdr:row>
      <xdr:rowOff>114301</xdr:rowOff>
    </xdr:from>
    <xdr:to>
      <xdr:col>7</xdr:col>
      <xdr:colOff>469901</xdr:colOff>
      <xdr:row>2</xdr:row>
      <xdr:rowOff>70603</xdr:rowOff>
    </xdr:to>
    <xdr:pic>
      <xdr:nvPicPr>
        <xdr:cNvPr id="3" name="Picture 2">
          <a:hlinkClick xmlns:r="http://schemas.openxmlformats.org/officeDocument/2006/relationships" r:id="rId2" tooltip="Back"/>
          <a:extLst>
            <a:ext uri="{FF2B5EF4-FFF2-40B4-BE49-F238E27FC236}">
              <a16:creationId xmlns:a16="http://schemas.microsoft.com/office/drawing/2014/main" id="{8F722866-D560-49C7-8D2F-3724990376FF}"/>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5365751" y="114301"/>
          <a:ext cx="673100" cy="464302"/>
        </a:xfrm>
        <a:prstGeom prst="rect">
          <a:avLst/>
        </a:prstGeom>
      </xdr:spPr>
    </xdr:pic>
    <xdr:clientData fPrintsWithSheet="0"/>
  </xdr:twoCellAnchor>
  <xdr:twoCellAnchor editAs="oneCell">
    <xdr:from>
      <xdr:col>3</xdr:col>
      <xdr:colOff>904875</xdr:colOff>
      <xdr:row>11</xdr:row>
      <xdr:rowOff>158744</xdr:rowOff>
    </xdr:from>
    <xdr:to>
      <xdr:col>4</xdr:col>
      <xdr:colOff>714536</xdr:colOff>
      <xdr:row>15</xdr:row>
      <xdr:rowOff>104776</xdr:rowOff>
    </xdr:to>
    <xdr:pic>
      <xdr:nvPicPr>
        <xdr:cNvPr id="6" name="Picture 5">
          <a:extLst>
            <a:ext uri="{FF2B5EF4-FFF2-40B4-BE49-F238E27FC236}">
              <a16:creationId xmlns:a16="http://schemas.microsoft.com/office/drawing/2014/main" id="{ACBECBE5-FF19-433D-A651-C6E4FB7310FD}"/>
            </a:ext>
          </a:extLst>
        </xdr:cNvPr>
        <xdr:cNvPicPr>
          <a:picLocks noChangeAspect="1"/>
        </xdr:cNvPicPr>
      </xdr:nvPicPr>
      <xdr:blipFill>
        <a:blip xmlns:r="http://schemas.openxmlformats.org/officeDocument/2006/relationships" r:embed="rId4">
          <a:extLst>
            <a:ext uri="{28A0092B-C50C-407E-A947-70E740481C1C}">
              <a14:useLocalDpi xmlns:a14="http://schemas.microsoft.com/office/drawing/2010/main" val="0"/>
            </a:ext>
          </a:extLst>
        </a:blip>
        <a:stretch>
          <a:fillRect/>
        </a:stretch>
      </xdr:blipFill>
      <xdr:spPr>
        <a:xfrm>
          <a:off x="3324225" y="2882894"/>
          <a:ext cx="752636" cy="936632"/>
        </a:xfrm>
        <a:prstGeom prst="rect">
          <a:avLst/>
        </a:prstGeom>
      </xdr:spPr>
    </xdr:pic>
    <xdr:clientData/>
  </xdr:twoCellAnchor>
  <xdr:twoCellAnchor editAs="oneCell">
    <xdr:from>
      <xdr:col>8</xdr:col>
      <xdr:colOff>158751</xdr:colOff>
      <xdr:row>0</xdr:row>
      <xdr:rowOff>57151</xdr:rowOff>
    </xdr:from>
    <xdr:to>
      <xdr:col>10</xdr:col>
      <xdr:colOff>260351</xdr:colOff>
      <xdr:row>1</xdr:row>
      <xdr:rowOff>180885</xdr:rowOff>
    </xdr:to>
    <xdr:pic>
      <xdr:nvPicPr>
        <xdr:cNvPr id="5" name="Picture 4">
          <a:hlinkClick xmlns:r="http://schemas.openxmlformats.org/officeDocument/2006/relationships" r:id="rId5" tooltip="MAIN MENU"/>
          <a:extLst>
            <a:ext uri="{FF2B5EF4-FFF2-40B4-BE49-F238E27FC236}">
              <a16:creationId xmlns:a16="http://schemas.microsoft.com/office/drawing/2014/main" id="{D4061767-F4E0-4747-A4B8-296C8E1ED4F4}"/>
            </a:ext>
          </a:extLst>
        </xdr:cNvPr>
        <xdr:cNvPicPr>
          <a:picLocks noChangeAspect="1" noChangeArrowheads="1"/>
        </xdr:cNvPicPr>
      </xdr:nvPicPr>
      <xdr:blipFill>
        <a:blip xmlns:r="http://schemas.openxmlformats.org/officeDocument/2006/relationships" r:embed="rId6"/>
        <a:srcRect/>
        <a:stretch>
          <a:fillRect/>
        </a:stretch>
      </xdr:blipFill>
      <xdr:spPr bwMode="auto">
        <a:xfrm>
          <a:off x="6337301" y="57151"/>
          <a:ext cx="1320800" cy="377734"/>
        </a:xfrm>
        <a:prstGeom prst="roundRect">
          <a:avLst>
            <a:gd name="adj" fmla="val 4167"/>
          </a:avLst>
        </a:prstGeom>
        <a:solidFill>
          <a:srgbClr val="FFFFFF"/>
        </a:solidFill>
        <a:ln w="76200" cap="sq">
          <a:solidFill>
            <a:srgbClr val="292929"/>
          </a:solidFill>
          <a:miter lim="800000"/>
        </a:ln>
        <a:effectLst>
          <a:reflection blurRad="12700" stA="28000" endPos="28000" dist="5000" dir="5400000" sy="-100000" algn="bl" rotWithShape="0"/>
        </a:effectLst>
        <a:scene3d>
          <a:camera prst="orthographicFront"/>
          <a:lightRig rig="threePt" dir="t">
            <a:rot lat="0" lon="0" rev="2700000"/>
          </a:lightRig>
        </a:scene3d>
        <a:sp3d>
          <a:bevelT h="38100"/>
          <a:contourClr>
            <a:srgbClr val="C0C0C0"/>
          </a:contourClr>
        </a:sp3d>
      </xdr:spPr>
    </xdr:pic>
    <xdr:clientData fPrintsWithSheet="0"/>
  </xdr:twoCellAnchor>
</xdr:wsDr>
</file>

<file path=xl/drawings/drawing24.xml><?xml version="1.0" encoding="utf-8"?>
<xdr:wsDr xmlns:xdr="http://schemas.openxmlformats.org/drawingml/2006/spreadsheetDrawing" xmlns:a="http://schemas.openxmlformats.org/drawingml/2006/main">
  <xdr:twoCellAnchor editAs="oneCell">
    <xdr:from>
      <xdr:col>12</xdr:col>
      <xdr:colOff>68580</xdr:colOff>
      <xdr:row>0</xdr:row>
      <xdr:rowOff>60960</xdr:rowOff>
    </xdr:from>
    <xdr:to>
      <xdr:col>13</xdr:col>
      <xdr:colOff>562610</xdr:colOff>
      <xdr:row>1</xdr:row>
      <xdr:rowOff>40966</xdr:rowOff>
    </xdr:to>
    <xdr:pic>
      <xdr:nvPicPr>
        <xdr:cNvPr id="3" name="Picture 2">
          <a:hlinkClick xmlns:r="http://schemas.openxmlformats.org/officeDocument/2006/relationships" r:id="rId1" tooltip="MAIN MENU"/>
          <a:extLst>
            <a:ext uri="{FF2B5EF4-FFF2-40B4-BE49-F238E27FC236}">
              <a16:creationId xmlns:a16="http://schemas.microsoft.com/office/drawing/2014/main" id="{1318A48C-53F1-4FE8-B57F-6F71029877C7}"/>
            </a:ext>
          </a:extLst>
        </xdr:cNvPr>
        <xdr:cNvPicPr>
          <a:picLocks noChangeAspect="1" noChangeArrowheads="1"/>
        </xdr:cNvPicPr>
      </xdr:nvPicPr>
      <xdr:blipFill>
        <a:blip xmlns:r="http://schemas.openxmlformats.org/officeDocument/2006/relationships" r:embed="rId2"/>
        <a:srcRect/>
        <a:stretch>
          <a:fillRect/>
        </a:stretch>
      </xdr:blipFill>
      <xdr:spPr bwMode="auto">
        <a:xfrm>
          <a:off x="9444990" y="60960"/>
          <a:ext cx="1103630" cy="319096"/>
        </a:xfrm>
        <a:prstGeom prst="roundRect">
          <a:avLst>
            <a:gd name="adj" fmla="val 4167"/>
          </a:avLst>
        </a:prstGeom>
        <a:solidFill>
          <a:srgbClr val="FFFFFF"/>
        </a:solidFill>
        <a:ln w="76200" cap="sq">
          <a:solidFill>
            <a:srgbClr val="292929"/>
          </a:solidFill>
          <a:miter lim="800000"/>
        </a:ln>
        <a:effectLst>
          <a:reflection blurRad="12700" stA="28000" endPos="28000" dist="5000" dir="5400000" sy="-100000" algn="bl" rotWithShape="0"/>
        </a:effectLst>
        <a:scene3d>
          <a:camera prst="orthographicFront"/>
          <a:lightRig rig="threePt" dir="t">
            <a:rot lat="0" lon="0" rev="2700000"/>
          </a:lightRig>
        </a:scene3d>
        <a:sp3d>
          <a:bevelT h="38100"/>
          <a:contourClr>
            <a:srgbClr val="C0C0C0"/>
          </a:contourClr>
        </a:sp3d>
      </xdr:spPr>
    </xdr:pic>
    <xdr:clientData fPrintsWithSheet="0"/>
  </xdr:twoCellAnchor>
  <xdr:twoCellAnchor editAs="oneCell">
    <xdr:from>
      <xdr:col>12</xdr:col>
      <xdr:colOff>95250</xdr:colOff>
      <xdr:row>1</xdr:row>
      <xdr:rowOff>161925</xdr:rowOff>
    </xdr:from>
    <xdr:to>
      <xdr:col>14</xdr:col>
      <xdr:colOff>266700</xdr:colOff>
      <xdr:row>5</xdr:row>
      <xdr:rowOff>107810</xdr:rowOff>
    </xdr:to>
    <xdr:pic>
      <xdr:nvPicPr>
        <xdr:cNvPr id="5" name="Picture 4">
          <a:extLst>
            <a:ext uri="{FF2B5EF4-FFF2-40B4-BE49-F238E27FC236}">
              <a16:creationId xmlns:a16="http://schemas.microsoft.com/office/drawing/2014/main" id="{02D5A662-30C1-4DE5-9233-86097430271E}"/>
            </a:ext>
          </a:extLst>
        </xdr:cNvPr>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Lst>
        </a:blip>
        <a:stretch>
          <a:fillRect/>
        </a:stretch>
      </xdr:blipFill>
      <xdr:spPr>
        <a:xfrm>
          <a:off x="9201150" y="495300"/>
          <a:ext cx="1352550" cy="1250810"/>
        </a:xfrm>
        <a:prstGeom prst="rect">
          <a:avLst/>
        </a:prstGeom>
      </xdr:spPr>
    </xdr:pic>
    <xdr:clientData/>
  </xdr:twoCellAnchor>
</xdr:wsDr>
</file>

<file path=xl/drawings/drawing25.xml><?xml version="1.0" encoding="utf-8"?>
<xdr:wsDr xmlns:xdr="http://schemas.openxmlformats.org/drawingml/2006/spreadsheetDrawing" xmlns:a="http://schemas.openxmlformats.org/drawingml/2006/main">
  <xdr:twoCellAnchor editAs="oneCell">
    <xdr:from>
      <xdr:col>4</xdr:col>
      <xdr:colOff>482600</xdr:colOff>
      <xdr:row>11</xdr:row>
      <xdr:rowOff>114300</xdr:rowOff>
    </xdr:from>
    <xdr:to>
      <xdr:col>7</xdr:col>
      <xdr:colOff>244475</xdr:colOff>
      <xdr:row>14</xdr:row>
      <xdr:rowOff>95250</xdr:rowOff>
    </xdr:to>
    <xdr:pic>
      <xdr:nvPicPr>
        <xdr:cNvPr id="3" name="Picture 2">
          <a:hlinkClick xmlns:r="http://schemas.openxmlformats.org/officeDocument/2006/relationships" r:id="rId1" tooltip="Main Menu"/>
          <a:extLst>
            <a:ext uri="{FF2B5EF4-FFF2-40B4-BE49-F238E27FC236}">
              <a16:creationId xmlns:a16="http://schemas.microsoft.com/office/drawing/2014/main" id="{00000000-0008-0000-0C00-000003000000}"/>
            </a:ext>
          </a:extLst>
        </xdr:cNvPr>
        <xdr:cNvPicPr>
          <a:picLocks noChangeAspect="1" noChangeArrowheads="1"/>
        </xdr:cNvPicPr>
      </xdr:nvPicPr>
      <xdr:blipFill>
        <a:blip xmlns:r="http://schemas.openxmlformats.org/officeDocument/2006/relationships" r:embed="rId2"/>
        <a:srcRect/>
        <a:stretch>
          <a:fillRect/>
        </a:stretch>
      </xdr:blipFill>
      <xdr:spPr bwMode="auto">
        <a:xfrm>
          <a:off x="3536950" y="1600200"/>
          <a:ext cx="1685925" cy="457200"/>
        </a:xfrm>
        <a:prstGeom prst="roundRect">
          <a:avLst>
            <a:gd name="adj" fmla="val 4167"/>
          </a:avLst>
        </a:prstGeom>
        <a:solidFill>
          <a:srgbClr val="FFFFFF"/>
        </a:solidFill>
        <a:ln w="76200" cap="sq">
          <a:solidFill>
            <a:srgbClr val="292929"/>
          </a:solidFill>
          <a:miter lim="800000"/>
        </a:ln>
        <a:effectLst>
          <a:reflection blurRad="12700" stA="28000" endPos="28000" dist="5000" dir="5400000" sy="-100000" algn="bl" rotWithShape="0"/>
        </a:effectLst>
        <a:scene3d>
          <a:camera prst="orthographicFront"/>
          <a:lightRig rig="threePt" dir="t">
            <a:rot lat="0" lon="0" rev="2700000"/>
          </a:lightRig>
        </a:scene3d>
        <a:sp3d>
          <a:bevelT h="38100"/>
          <a:contourClr>
            <a:srgbClr val="C0C0C0"/>
          </a:contourClr>
        </a:sp3d>
      </xdr:spPr>
    </xdr:pic>
    <xdr:clientData/>
  </xdr:twoCellAnchor>
</xdr:wsDr>
</file>

<file path=xl/drawings/drawing3.xml><?xml version="1.0" encoding="utf-8"?>
<xdr:wsDr xmlns:xdr="http://schemas.openxmlformats.org/drawingml/2006/spreadsheetDrawing" xmlns:a="http://schemas.openxmlformats.org/drawingml/2006/main">
  <xdr:twoCellAnchor>
    <xdr:from>
      <xdr:col>7</xdr:col>
      <xdr:colOff>73026</xdr:colOff>
      <xdr:row>0</xdr:row>
      <xdr:rowOff>285749</xdr:rowOff>
    </xdr:from>
    <xdr:to>
      <xdr:col>12</xdr:col>
      <xdr:colOff>847726</xdr:colOff>
      <xdr:row>17</xdr:row>
      <xdr:rowOff>0</xdr:rowOff>
    </xdr:to>
    <xdr:graphicFrame macro="">
      <xdr:nvGraphicFramePr>
        <xdr:cNvPr id="2" name="Chart 1">
          <a:extLst>
            <a:ext uri="{FF2B5EF4-FFF2-40B4-BE49-F238E27FC236}">
              <a16:creationId xmlns:a16="http://schemas.microsoft.com/office/drawing/2014/main" id="{00000000-0008-0000-02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13</xdr:col>
      <xdr:colOff>400050</xdr:colOff>
      <xdr:row>0</xdr:row>
      <xdr:rowOff>57150</xdr:rowOff>
    </xdr:from>
    <xdr:to>
      <xdr:col>16</xdr:col>
      <xdr:colOff>161925</xdr:colOff>
      <xdr:row>1</xdr:row>
      <xdr:rowOff>180975</xdr:rowOff>
    </xdr:to>
    <xdr:pic>
      <xdr:nvPicPr>
        <xdr:cNvPr id="5" name="Picture 4">
          <a:hlinkClick xmlns:r="http://schemas.openxmlformats.org/officeDocument/2006/relationships" r:id="rId2" tooltip="MAIN MENU"/>
          <a:extLst>
            <a:ext uri="{FF2B5EF4-FFF2-40B4-BE49-F238E27FC236}">
              <a16:creationId xmlns:a16="http://schemas.microsoft.com/office/drawing/2014/main" id="{00000000-0008-0000-0200-000005000000}"/>
            </a:ext>
          </a:extLst>
        </xdr:cNvPr>
        <xdr:cNvPicPr>
          <a:picLocks noChangeAspect="1" noChangeArrowheads="1"/>
        </xdr:cNvPicPr>
      </xdr:nvPicPr>
      <xdr:blipFill>
        <a:blip xmlns:r="http://schemas.openxmlformats.org/officeDocument/2006/relationships" r:embed="rId3"/>
        <a:srcRect/>
        <a:stretch>
          <a:fillRect/>
        </a:stretch>
      </xdr:blipFill>
      <xdr:spPr bwMode="auto">
        <a:xfrm>
          <a:off x="9944100" y="57150"/>
          <a:ext cx="1590675" cy="466725"/>
        </a:xfrm>
        <a:prstGeom prst="roundRect">
          <a:avLst>
            <a:gd name="adj" fmla="val 4167"/>
          </a:avLst>
        </a:prstGeom>
        <a:solidFill>
          <a:srgbClr val="FFFFFF"/>
        </a:solidFill>
        <a:ln w="76200" cap="sq">
          <a:solidFill>
            <a:srgbClr val="292929"/>
          </a:solidFill>
          <a:miter lim="800000"/>
        </a:ln>
        <a:effectLst>
          <a:reflection blurRad="12700" stA="28000" endPos="28000" dist="5000" dir="5400000" sy="-100000" algn="bl" rotWithShape="0"/>
        </a:effectLst>
        <a:scene3d>
          <a:camera prst="orthographicFront"/>
          <a:lightRig rig="threePt" dir="t">
            <a:rot lat="0" lon="0" rev="2700000"/>
          </a:lightRig>
        </a:scene3d>
        <a:sp3d>
          <a:bevelT h="38100"/>
          <a:contourClr>
            <a:srgbClr val="C0C0C0"/>
          </a:contourClr>
        </a:sp3d>
      </xdr:spPr>
    </xdr:pic>
    <xdr:clientData fPrintsWithSheet="0"/>
  </xdr:twoCellAnchor>
  <xdr:twoCellAnchor editAs="oneCell">
    <xdr:from>
      <xdr:col>2</xdr:col>
      <xdr:colOff>609600</xdr:colOff>
      <xdr:row>5</xdr:row>
      <xdr:rowOff>189772</xdr:rowOff>
    </xdr:from>
    <xdr:to>
      <xdr:col>4</xdr:col>
      <xdr:colOff>314325</xdr:colOff>
      <xdr:row>8</xdr:row>
      <xdr:rowOff>186921</xdr:rowOff>
    </xdr:to>
    <xdr:pic>
      <xdr:nvPicPr>
        <xdr:cNvPr id="6" name="Picture 5">
          <a:extLst>
            <a:ext uri="{FF2B5EF4-FFF2-40B4-BE49-F238E27FC236}">
              <a16:creationId xmlns:a16="http://schemas.microsoft.com/office/drawing/2014/main" id="{5BF86B21-17C6-46B9-976F-745DA6848D6A}"/>
            </a:ext>
          </a:extLst>
        </xdr:cNvPr>
        <xdr:cNvPicPr>
          <a:picLocks noChangeAspect="1"/>
        </xdr:cNvPicPr>
      </xdr:nvPicPr>
      <xdr:blipFill>
        <a:blip xmlns:r="http://schemas.openxmlformats.org/officeDocument/2006/relationships" r:embed="rId4">
          <a:extLst>
            <a:ext uri="{28A0092B-C50C-407E-A947-70E740481C1C}">
              <a14:useLocalDpi xmlns:a14="http://schemas.microsoft.com/office/drawing/2010/main" val="0"/>
            </a:ext>
          </a:extLst>
        </a:blip>
        <a:stretch>
          <a:fillRect/>
        </a:stretch>
      </xdr:blipFill>
      <xdr:spPr>
        <a:xfrm>
          <a:off x="1866900" y="1332772"/>
          <a:ext cx="1666875" cy="597224"/>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18</xdr:col>
      <xdr:colOff>469900</xdr:colOff>
      <xdr:row>4</xdr:row>
      <xdr:rowOff>111125</xdr:rowOff>
    </xdr:from>
    <xdr:to>
      <xdr:col>21</xdr:col>
      <xdr:colOff>231775</xdr:colOff>
      <xdr:row>6</xdr:row>
      <xdr:rowOff>177800</xdr:rowOff>
    </xdr:to>
    <xdr:pic>
      <xdr:nvPicPr>
        <xdr:cNvPr id="5" name="Picture 4">
          <a:hlinkClick xmlns:r="http://schemas.openxmlformats.org/officeDocument/2006/relationships" r:id="rId1" tooltip="MAIN MENU"/>
          <a:extLst>
            <a:ext uri="{FF2B5EF4-FFF2-40B4-BE49-F238E27FC236}">
              <a16:creationId xmlns:a16="http://schemas.microsoft.com/office/drawing/2014/main" id="{00000000-0008-0000-0300-000005000000}"/>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0579100" y="1006475"/>
          <a:ext cx="1685925" cy="473075"/>
        </a:xfrm>
        <a:prstGeom prst="roundRect">
          <a:avLst>
            <a:gd name="adj" fmla="val 4167"/>
          </a:avLst>
        </a:prstGeom>
        <a:solidFill>
          <a:srgbClr val="FFFFFF"/>
        </a:solidFill>
        <a:ln w="76200" cap="sq">
          <a:solidFill>
            <a:srgbClr val="292929"/>
          </a:solidFill>
          <a:miter lim="800000"/>
        </a:ln>
        <a:effectLst>
          <a:reflection blurRad="12700" stA="28000" endPos="28000" dist="5000" dir="5400000" sy="-100000" algn="bl" rotWithShape="0"/>
        </a:effectLst>
        <a:scene3d>
          <a:camera prst="orthographicFront"/>
          <a:lightRig rig="threePt" dir="t">
            <a:rot lat="0" lon="0" rev="2700000"/>
          </a:lightRig>
        </a:scene3d>
        <a:sp3d>
          <a:bevelT h="38100"/>
          <a:contourClr>
            <a:srgbClr val="C0C0C0"/>
          </a:contourClr>
        </a:sp3d>
      </xdr:spPr>
    </xdr:pic>
    <xdr:clientData fPrintsWithSheet="0"/>
  </xdr:twoCellAnchor>
  <xdr:twoCellAnchor>
    <xdr:from>
      <xdr:col>9</xdr:col>
      <xdr:colOff>0</xdr:colOff>
      <xdr:row>5</xdr:row>
      <xdr:rowOff>95249</xdr:rowOff>
    </xdr:from>
    <xdr:to>
      <xdr:col>17</xdr:col>
      <xdr:colOff>0</xdr:colOff>
      <xdr:row>22</xdr:row>
      <xdr:rowOff>190499</xdr:rowOff>
    </xdr:to>
    <xdr:graphicFrame macro="">
      <xdr:nvGraphicFramePr>
        <xdr:cNvPr id="6" name="Chart 5">
          <a:extLst>
            <a:ext uri="{FF2B5EF4-FFF2-40B4-BE49-F238E27FC236}">
              <a16:creationId xmlns:a16="http://schemas.microsoft.com/office/drawing/2014/main" id="{00000000-0008-0000-03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editAs="oneCell">
    <xdr:from>
      <xdr:col>18</xdr:col>
      <xdr:colOff>428625</xdr:colOff>
      <xdr:row>0</xdr:row>
      <xdr:rowOff>0</xdr:rowOff>
    </xdr:from>
    <xdr:to>
      <xdr:col>21</xdr:col>
      <xdr:colOff>285750</xdr:colOff>
      <xdr:row>4</xdr:row>
      <xdr:rowOff>83112</xdr:rowOff>
    </xdr:to>
    <xdr:pic>
      <xdr:nvPicPr>
        <xdr:cNvPr id="3" name="Picture 2">
          <a:extLst>
            <a:ext uri="{FF2B5EF4-FFF2-40B4-BE49-F238E27FC236}">
              <a16:creationId xmlns:a16="http://schemas.microsoft.com/office/drawing/2014/main" id="{19FC3054-FDF7-4B86-B170-8A024AD39BCA}"/>
            </a:ext>
          </a:extLst>
        </xdr:cNvPr>
        <xdr:cNvPicPr>
          <a:picLocks noChangeAspect="1"/>
        </xdr:cNvPicPr>
      </xdr:nvPicPr>
      <xdr:blipFill>
        <a:blip xmlns:r="http://schemas.openxmlformats.org/officeDocument/2006/relationships" r:embed="rId4">
          <a:extLst>
            <a:ext uri="{28A0092B-C50C-407E-A947-70E740481C1C}">
              <a14:useLocalDpi xmlns:a14="http://schemas.microsoft.com/office/drawing/2010/main" val="0"/>
            </a:ext>
          </a:extLst>
        </a:blip>
        <a:stretch>
          <a:fillRect/>
        </a:stretch>
      </xdr:blipFill>
      <xdr:spPr>
        <a:xfrm>
          <a:off x="10067925" y="0"/>
          <a:ext cx="1685925" cy="968937"/>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xdr:from>
      <xdr:col>12</xdr:col>
      <xdr:colOff>28576</xdr:colOff>
      <xdr:row>7</xdr:row>
      <xdr:rowOff>95249</xdr:rowOff>
    </xdr:from>
    <xdr:to>
      <xdr:col>17</xdr:col>
      <xdr:colOff>209550</xdr:colOff>
      <xdr:row>15</xdr:row>
      <xdr:rowOff>219074</xdr:rowOff>
    </xdr:to>
    <xdr:graphicFrame macro="">
      <xdr:nvGraphicFramePr>
        <xdr:cNvPr id="2" name="Chart 1">
          <a:extLst>
            <a:ext uri="{FF2B5EF4-FFF2-40B4-BE49-F238E27FC236}">
              <a16:creationId xmlns:a16="http://schemas.microsoft.com/office/drawing/2014/main" id="{00000000-0008-0000-04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38101</xdr:colOff>
      <xdr:row>8</xdr:row>
      <xdr:rowOff>0</xdr:rowOff>
    </xdr:from>
    <xdr:to>
      <xdr:col>3</xdr:col>
      <xdr:colOff>533401</xdr:colOff>
      <xdr:row>15</xdr:row>
      <xdr:rowOff>95250</xdr:rowOff>
    </xdr:to>
    <xdr:sp macro="" textlink="">
      <xdr:nvSpPr>
        <xdr:cNvPr id="3" name="TextBox 2">
          <a:extLst>
            <a:ext uri="{FF2B5EF4-FFF2-40B4-BE49-F238E27FC236}">
              <a16:creationId xmlns:a16="http://schemas.microsoft.com/office/drawing/2014/main" id="{00000000-0008-0000-0400-000003000000}"/>
            </a:ext>
          </a:extLst>
        </xdr:cNvPr>
        <xdr:cNvSpPr txBox="1"/>
      </xdr:nvSpPr>
      <xdr:spPr>
        <a:xfrm>
          <a:off x="314326" y="2019300"/>
          <a:ext cx="2171700" cy="1828800"/>
        </a:xfrm>
        <a:prstGeom prst="rect">
          <a:avLst/>
        </a:prstGeom>
        <a:solidFill>
          <a:schemeClr val="accent5">
            <a:lumMod val="50000"/>
          </a:schemeClr>
        </a:solidFill>
        <a:ln w="9525" cmpd="sng">
          <a:solidFill>
            <a:srgbClr val="C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US" sz="2400" b="1">
              <a:solidFill>
                <a:schemeClr val="bg1"/>
              </a:solidFill>
            </a:rPr>
            <a:t>RETIREMENT PLANNING</a:t>
          </a:r>
        </a:p>
        <a:p>
          <a:pPr algn="ctr"/>
          <a:r>
            <a:rPr lang="en-US" sz="2400" b="1">
              <a:solidFill>
                <a:schemeClr val="bg1"/>
              </a:solidFill>
            </a:rPr>
            <a:t>through</a:t>
          </a:r>
        </a:p>
        <a:p>
          <a:pPr algn="ctr"/>
          <a:r>
            <a:rPr lang="en-US" sz="2400" b="1">
              <a:solidFill>
                <a:schemeClr val="bg1"/>
              </a:solidFill>
            </a:rPr>
            <a:t>SIP and SWP</a:t>
          </a:r>
        </a:p>
      </xdr:txBody>
    </xdr:sp>
    <xdr:clientData/>
  </xdr:twoCellAnchor>
  <xdr:twoCellAnchor editAs="oneCell">
    <xdr:from>
      <xdr:col>8</xdr:col>
      <xdr:colOff>139700</xdr:colOff>
      <xdr:row>12</xdr:row>
      <xdr:rowOff>219075</xdr:rowOff>
    </xdr:from>
    <xdr:to>
      <xdr:col>11</xdr:col>
      <xdr:colOff>254000</xdr:colOff>
      <xdr:row>14</xdr:row>
      <xdr:rowOff>190500</xdr:rowOff>
    </xdr:to>
    <xdr:pic>
      <xdr:nvPicPr>
        <xdr:cNvPr id="4" name="Picture 3">
          <a:hlinkClick xmlns:r="http://schemas.openxmlformats.org/officeDocument/2006/relationships" r:id="rId2" tooltip="MAIN MENU"/>
          <a:extLst>
            <a:ext uri="{FF2B5EF4-FFF2-40B4-BE49-F238E27FC236}">
              <a16:creationId xmlns:a16="http://schemas.microsoft.com/office/drawing/2014/main" id="{00000000-0008-0000-0400-000004000000}"/>
            </a:ext>
          </a:extLst>
        </xdr:cNvPr>
        <xdr:cNvPicPr>
          <a:picLocks noChangeAspect="1" noChangeArrowheads="1"/>
        </xdr:cNvPicPr>
      </xdr:nvPicPr>
      <xdr:blipFill>
        <a:blip xmlns:r="http://schemas.openxmlformats.org/officeDocument/2006/relationships" r:embed="rId3"/>
        <a:srcRect/>
        <a:stretch>
          <a:fillRect/>
        </a:stretch>
      </xdr:blipFill>
      <xdr:spPr bwMode="auto">
        <a:xfrm>
          <a:off x="5708650" y="3298825"/>
          <a:ext cx="1663700" cy="479425"/>
        </a:xfrm>
        <a:prstGeom prst="roundRect">
          <a:avLst>
            <a:gd name="adj" fmla="val 4167"/>
          </a:avLst>
        </a:prstGeom>
        <a:solidFill>
          <a:srgbClr val="FFFFFF"/>
        </a:solidFill>
        <a:ln w="76200" cap="sq">
          <a:solidFill>
            <a:srgbClr val="292929"/>
          </a:solidFill>
          <a:miter lim="800000"/>
        </a:ln>
        <a:effectLst>
          <a:reflection blurRad="12700" stA="28000" endPos="28000" dist="5000" dir="5400000" sy="-100000" algn="bl" rotWithShape="0"/>
        </a:effectLst>
        <a:scene3d>
          <a:camera prst="orthographicFront"/>
          <a:lightRig rig="threePt" dir="t">
            <a:rot lat="0" lon="0" rev="2700000"/>
          </a:lightRig>
        </a:scene3d>
        <a:sp3d>
          <a:bevelT h="38100"/>
          <a:contourClr>
            <a:srgbClr val="C0C0C0"/>
          </a:contourClr>
        </a:sp3d>
      </xdr:spPr>
    </xdr:pic>
    <xdr:clientData fPrintsWithSheet="0"/>
  </xdr:twoCellAnchor>
  <xdr:twoCellAnchor editAs="oneCell">
    <xdr:from>
      <xdr:col>4</xdr:col>
      <xdr:colOff>219075</xdr:colOff>
      <xdr:row>11</xdr:row>
      <xdr:rowOff>38100</xdr:rowOff>
    </xdr:from>
    <xdr:to>
      <xdr:col>7</xdr:col>
      <xdr:colOff>438150</xdr:colOff>
      <xdr:row>16</xdr:row>
      <xdr:rowOff>64694</xdr:rowOff>
    </xdr:to>
    <xdr:pic>
      <xdr:nvPicPr>
        <xdr:cNvPr id="7" name="Picture 6">
          <a:extLst>
            <a:ext uri="{FF2B5EF4-FFF2-40B4-BE49-F238E27FC236}">
              <a16:creationId xmlns:a16="http://schemas.microsoft.com/office/drawing/2014/main" id="{8476A00A-C921-4161-9752-AAE739242658}"/>
            </a:ext>
          </a:extLst>
        </xdr:cNvPr>
        <xdr:cNvPicPr>
          <a:picLocks noChangeAspect="1"/>
        </xdr:cNvPicPr>
      </xdr:nvPicPr>
      <xdr:blipFill>
        <a:blip xmlns:r="http://schemas.openxmlformats.org/officeDocument/2006/relationships" r:embed="rId4">
          <a:extLst>
            <a:ext uri="{28A0092B-C50C-407E-A947-70E740481C1C}">
              <a14:useLocalDpi xmlns:a14="http://schemas.microsoft.com/office/drawing/2010/main" val="0"/>
            </a:ext>
          </a:extLst>
        </a:blip>
        <a:stretch>
          <a:fillRect/>
        </a:stretch>
      </xdr:blipFill>
      <xdr:spPr>
        <a:xfrm>
          <a:off x="2762250" y="2895600"/>
          <a:ext cx="2276475" cy="1312469"/>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xdr:from>
      <xdr:col>11</xdr:col>
      <xdr:colOff>95249</xdr:colOff>
      <xdr:row>10</xdr:row>
      <xdr:rowOff>0</xdr:rowOff>
    </xdr:from>
    <xdr:to>
      <xdr:col>19</xdr:col>
      <xdr:colOff>533400</xdr:colOff>
      <xdr:row>26</xdr:row>
      <xdr:rowOff>38100</xdr:rowOff>
    </xdr:to>
    <xdr:graphicFrame macro="">
      <xdr:nvGraphicFramePr>
        <xdr:cNvPr id="2" name="Chart 1">
          <a:extLst>
            <a:ext uri="{FF2B5EF4-FFF2-40B4-BE49-F238E27FC236}">
              <a16:creationId xmlns:a16="http://schemas.microsoft.com/office/drawing/2014/main" id="{5966C976-AD9C-42B1-B077-E3A649E612D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5</xdr:col>
      <xdr:colOff>38101</xdr:colOff>
      <xdr:row>4</xdr:row>
      <xdr:rowOff>70075</xdr:rowOff>
    </xdr:from>
    <xdr:to>
      <xdr:col>6</xdr:col>
      <xdr:colOff>0</xdr:colOff>
      <xdr:row>5</xdr:row>
      <xdr:rowOff>100402</xdr:rowOff>
    </xdr:to>
    <xdr:pic>
      <xdr:nvPicPr>
        <xdr:cNvPr id="3" name="Picture 2">
          <a:hlinkClick xmlns:r="http://schemas.openxmlformats.org/officeDocument/2006/relationships" r:id="rId2" tooltip="MAIN MENU"/>
          <a:extLst>
            <a:ext uri="{FF2B5EF4-FFF2-40B4-BE49-F238E27FC236}">
              <a16:creationId xmlns:a16="http://schemas.microsoft.com/office/drawing/2014/main" id="{CFED6E72-FC9D-4B56-8241-A1902FFA6D05}"/>
            </a:ext>
          </a:extLst>
        </xdr:cNvPr>
        <xdr:cNvPicPr>
          <a:picLocks noChangeAspect="1" noChangeArrowheads="1"/>
        </xdr:cNvPicPr>
      </xdr:nvPicPr>
      <xdr:blipFill>
        <a:blip xmlns:r="http://schemas.openxmlformats.org/officeDocument/2006/relationships" r:embed="rId3"/>
        <a:srcRect/>
        <a:stretch>
          <a:fillRect/>
        </a:stretch>
      </xdr:blipFill>
      <xdr:spPr bwMode="auto">
        <a:xfrm>
          <a:off x="3509011" y="984475"/>
          <a:ext cx="918209" cy="258927"/>
        </a:xfrm>
        <a:prstGeom prst="roundRect">
          <a:avLst>
            <a:gd name="adj" fmla="val 4167"/>
          </a:avLst>
        </a:prstGeom>
        <a:solidFill>
          <a:srgbClr val="FFFFFF"/>
        </a:solidFill>
        <a:ln w="76200" cap="sq">
          <a:solidFill>
            <a:srgbClr val="292929"/>
          </a:solidFill>
          <a:miter lim="800000"/>
        </a:ln>
        <a:effectLst>
          <a:reflection blurRad="12700" stA="28000" endPos="28000" dist="5000" dir="5400000" sy="-100000" algn="bl" rotWithShape="0"/>
        </a:effectLst>
        <a:scene3d>
          <a:camera prst="orthographicFront"/>
          <a:lightRig rig="threePt" dir="t">
            <a:rot lat="0" lon="0" rev="2700000"/>
          </a:lightRig>
        </a:scene3d>
        <a:sp3d>
          <a:bevelT h="38100"/>
          <a:contourClr>
            <a:srgbClr val="C0C0C0"/>
          </a:contourClr>
        </a:sp3d>
      </xdr:spPr>
    </xdr:pic>
    <xdr:clientData fPrintsWithSheet="0"/>
  </xdr:twoCellAnchor>
  <xdr:twoCellAnchor editAs="oneCell">
    <xdr:from>
      <xdr:col>4</xdr:col>
      <xdr:colOff>66675</xdr:colOff>
      <xdr:row>0</xdr:row>
      <xdr:rowOff>95250</xdr:rowOff>
    </xdr:from>
    <xdr:to>
      <xdr:col>4</xdr:col>
      <xdr:colOff>755524</xdr:colOff>
      <xdr:row>4</xdr:row>
      <xdr:rowOff>123825</xdr:rowOff>
    </xdr:to>
    <xdr:pic>
      <xdr:nvPicPr>
        <xdr:cNvPr id="6" name="Picture 5">
          <a:extLst>
            <a:ext uri="{FF2B5EF4-FFF2-40B4-BE49-F238E27FC236}">
              <a16:creationId xmlns:a16="http://schemas.microsoft.com/office/drawing/2014/main" id="{F82FB717-32E9-4EA7-A1C0-74EF0D427650}"/>
            </a:ext>
          </a:extLst>
        </xdr:cNvPr>
        <xdr:cNvPicPr>
          <a:picLocks noChangeAspect="1"/>
        </xdr:cNvPicPr>
      </xdr:nvPicPr>
      <xdr:blipFill>
        <a:blip xmlns:r="http://schemas.openxmlformats.org/officeDocument/2006/relationships" r:embed="rId4">
          <a:extLst>
            <a:ext uri="{28A0092B-C50C-407E-A947-70E740481C1C}">
              <a14:useLocalDpi xmlns:a14="http://schemas.microsoft.com/office/drawing/2010/main" val="0"/>
            </a:ext>
          </a:extLst>
        </a:blip>
        <a:stretch>
          <a:fillRect/>
        </a:stretch>
      </xdr:blipFill>
      <xdr:spPr>
        <a:xfrm>
          <a:off x="2638425" y="95250"/>
          <a:ext cx="688849" cy="942975"/>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10</xdr:col>
      <xdr:colOff>247650</xdr:colOff>
      <xdr:row>5</xdr:row>
      <xdr:rowOff>41275</xdr:rowOff>
    </xdr:from>
    <xdr:to>
      <xdr:col>12</xdr:col>
      <xdr:colOff>409575</xdr:colOff>
      <xdr:row>7</xdr:row>
      <xdr:rowOff>44450</xdr:rowOff>
    </xdr:to>
    <xdr:pic>
      <xdr:nvPicPr>
        <xdr:cNvPr id="4" name="Picture 3">
          <a:hlinkClick xmlns:r="http://schemas.openxmlformats.org/officeDocument/2006/relationships" r:id="rId1" tooltip="MAIN MENU"/>
          <a:extLst>
            <a:ext uri="{FF2B5EF4-FFF2-40B4-BE49-F238E27FC236}">
              <a16:creationId xmlns:a16="http://schemas.microsoft.com/office/drawing/2014/main" id="{00000000-0008-0000-0500-000004000000}"/>
            </a:ext>
          </a:extLst>
        </xdr:cNvPr>
        <xdr:cNvPicPr>
          <a:picLocks noChangeAspect="1" noChangeArrowheads="1"/>
        </xdr:cNvPicPr>
      </xdr:nvPicPr>
      <xdr:blipFill>
        <a:blip xmlns:r="http://schemas.openxmlformats.org/officeDocument/2006/relationships" r:embed="rId2"/>
        <a:srcRect/>
        <a:stretch>
          <a:fillRect/>
        </a:stretch>
      </xdr:blipFill>
      <xdr:spPr bwMode="auto">
        <a:xfrm>
          <a:off x="7264400" y="1196975"/>
          <a:ext cx="1660525" cy="460375"/>
        </a:xfrm>
        <a:prstGeom prst="roundRect">
          <a:avLst>
            <a:gd name="adj" fmla="val 4167"/>
          </a:avLst>
        </a:prstGeom>
        <a:solidFill>
          <a:srgbClr val="FFFFFF"/>
        </a:solidFill>
        <a:ln w="76200" cap="sq">
          <a:solidFill>
            <a:srgbClr val="292929"/>
          </a:solidFill>
          <a:miter lim="800000"/>
        </a:ln>
        <a:effectLst>
          <a:reflection blurRad="12700" stA="28000" endPos="28000" dist="5000" dir="5400000" sy="-100000" algn="bl" rotWithShape="0"/>
        </a:effectLst>
        <a:scene3d>
          <a:camera prst="orthographicFront"/>
          <a:lightRig rig="threePt" dir="t">
            <a:rot lat="0" lon="0" rev="2700000"/>
          </a:lightRig>
        </a:scene3d>
        <a:sp3d>
          <a:bevelT h="38100"/>
          <a:contourClr>
            <a:srgbClr val="C0C0C0"/>
          </a:contourClr>
        </a:sp3d>
      </xdr:spPr>
    </xdr:pic>
    <xdr:clientData fPrintsWithSheet="0"/>
  </xdr:twoCellAnchor>
  <xdr:twoCellAnchor>
    <xdr:from>
      <xdr:col>8</xdr:col>
      <xdr:colOff>438150</xdr:colOff>
      <xdr:row>8</xdr:row>
      <xdr:rowOff>47625</xdr:rowOff>
    </xdr:from>
    <xdr:to>
      <xdr:col>13</xdr:col>
      <xdr:colOff>260350</xdr:colOff>
      <xdr:row>20</xdr:row>
      <xdr:rowOff>85725</xdr:rowOff>
    </xdr:to>
    <xdr:sp macro="" textlink="">
      <xdr:nvSpPr>
        <xdr:cNvPr id="3" name="TextBox 2">
          <a:extLst>
            <a:ext uri="{FF2B5EF4-FFF2-40B4-BE49-F238E27FC236}">
              <a16:creationId xmlns:a16="http://schemas.microsoft.com/office/drawing/2014/main" id="{00000000-0008-0000-0500-000003000000}"/>
            </a:ext>
          </a:extLst>
        </xdr:cNvPr>
        <xdr:cNvSpPr txBox="1"/>
      </xdr:nvSpPr>
      <xdr:spPr>
        <a:xfrm>
          <a:off x="6705600" y="1889125"/>
          <a:ext cx="2819400" cy="2692400"/>
        </a:xfrm>
        <a:prstGeom prst="rect">
          <a:avLst/>
        </a:prstGeom>
        <a:solidFill>
          <a:schemeClr val="lt1"/>
        </a:solidFill>
        <a:ln w="9525" cmpd="sng">
          <a:solidFill>
            <a:srgbClr val="C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tIns="0" rtlCol="0" anchor="t"/>
        <a:lstStyle/>
        <a:p>
          <a:pPr algn="ctr"/>
          <a:r>
            <a:rPr lang="en-US" sz="2400" b="1">
              <a:solidFill>
                <a:srgbClr val="C00000"/>
              </a:solidFill>
            </a:rPr>
            <a:t>Regular Income Generation through SWP</a:t>
          </a:r>
        </a:p>
        <a:p>
          <a:pPr algn="ctr"/>
          <a:r>
            <a:rPr lang="en-US" sz="2400" b="1">
              <a:solidFill>
                <a:sysClr val="windowText" lastClr="000000"/>
              </a:solidFill>
            </a:rPr>
            <a:t>Market Linked Vs. Fixed Income Portfolio Comparison</a:t>
          </a:r>
        </a:p>
      </xdr:txBody>
    </xdr:sp>
    <xdr:clientData/>
  </xdr:twoCellAnchor>
  <xdr:twoCellAnchor editAs="oneCell">
    <xdr:from>
      <xdr:col>10</xdr:col>
      <xdr:colOff>95250</xdr:colOff>
      <xdr:row>0</xdr:row>
      <xdr:rowOff>190500</xdr:rowOff>
    </xdr:from>
    <xdr:to>
      <xdr:col>12</xdr:col>
      <xdr:colOff>541338</xdr:colOff>
      <xdr:row>4</xdr:row>
      <xdr:rowOff>87312</xdr:rowOff>
    </xdr:to>
    <xdr:pic>
      <xdr:nvPicPr>
        <xdr:cNvPr id="5" name="Picture 24" descr="Prudent emPower logo txt">
          <a:extLst>
            <a:ext uri="{FF2B5EF4-FFF2-40B4-BE49-F238E27FC236}">
              <a16:creationId xmlns:a16="http://schemas.microsoft.com/office/drawing/2014/main" id="{00000000-0008-0000-0500-000005000000}"/>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7112000" y="190500"/>
          <a:ext cx="1944688" cy="82391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8.xml><?xml version="1.0" encoding="utf-8"?>
<xdr:wsDr xmlns:xdr="http://schemas.openxmlformats.org/drawingml/2006/spreadsheetDrawing" xmlns:a="http://schemas.openxmlformats.org/drawingml/2006/main">
  <xdr:twoCellAnchor>
    <xdr:from>
      <xdr:col>3</xdr:col>
      <xdr:colOff>152400</xdr:colOff>
      <xdr:row>4</xdr:row>
      <xdr:rowOff>25399</xdr:rowOff>
    </xdr:from>
    <xdr:to>
      <xdr:col>8</xdr:col>
      <xdr:colOff>485775</xdr:colOff>
      <xdr:row>21</xdr:row>
      <xdr:rowOff>104774</xdr:rowOff>
    </xdr:to>
    <xdr:graphicFrame macro="">
      <xdr:nvGraphicFramePr>
        <xdr:cNvPr id="3" name="Chart 2">
          <a:extLst>
            <a:ext uri="{FF2B5EF4-FFF2-40B4-BE49-F238E27FC236}">
              <a16:creationId xmlns:a16="http://schemas.microsoft.com/office/drawing/2014/main" id="{00000000-0008-0000-06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2085975</xdr:colOff>
      <xdr:row>16</xdr:row>
      <xdr:rowOff>152400</xdr:rowOff>
    </xdr:from>
    <xdr:to>
      <xdr:col>3</xdr:col>
      <xdr:colOff>9525</xdr:colOff>
      <xdr:row>21</xdr:row>
      <xdr:rowOff>104775</xdr:rowOff>
    </xdr:to>
    <xdr:sp macro="" textlink="">
      <xdr:nvSpPr>
        <xdr:cNvPr id="4" name="TextBox 3">
          <a:extLst>
            <a:ext uri="{FF2B5EF4-FFF2-40B4-BE49-F238E27FC236}">
              <a16:creationId xmlns:a16="http://schemas.microsoft.com/office/drawing/2014/main" id="{00000000-0008-0000-0600-000004000000}"/>
            </a:ext>
          </a:extLst>
        </xdr:cNvPr>
        <xdr:cNvSpPr txBox="1"/>
      </xdr:nvSpPr>
      <xdr:spPr>
        <a:xfrm>
          <a:off x="2727325" y="3486150"/>
          <a:ext cx="3797300" cy="96837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n-US" sz="1600" b="1"/>
            <a:t>Keep your </a:t>
          </a:r>
          <a:r>
            <a:rPr lang="en-US" sz="1600" b="1">
              <a:solidFill>
                <a:srgbClr val="00B050"/>
              </a:solidFill>
            </a:rPr>
            <a:t>capital safe</a:t>
          </a:r>
          <a:r>
            <a:rPr lang="en-US" sz="1600" b="1"/>
            <a:t> and move only the appreciation amount every month to equity fund</a:t>
          </a:r>
          <a:r>
            <a:rPr lang="en-US" sz="1600" b="1" baseline="0"/>
            <a:t> through </a:t>
          </a:r>
          <a:r>
            <a:rPr lang="en-US" sz="1600" b="1" baseline="0">
              <a:solidFill>
                <a:srgbClr val="00B050"/>
              </a:solidFill>
            </a:rPr>
            <a:t>STP</a:t>
          </a:r>
          <a:endParaRPr lang="en-US" sz="1600" b="1">
            <a:solidFill>
              <a:srgbClr val="00B050"/>
            </a:solidFill>
          </a:endParaRPr>
        </a:p>
      </xdr:txBody>
    </xdr:sp>
    <xdr:clientData/>
  </xdr:twoCellAnchor>
  <xdr:twoCellAnchor editAs="oneCell">
    <xdr:from>
      <xdr:col>4</xdr:col>
      <xdr:colOff>558800</xdr:colOff>
      <xdr:row>0</xdr:row>
      <xdr:rowOff>200025</xdr:rowOff>
    </xdr:from>
    <xdr:to>
      <xdr:col>7</xdr:col>
      <xdr:colOff>130175</xdr:colOff>
      <xdr:row>2</xdr:row>
      <xdr:rowOff>187325</xdr:rowOff>
    </xdr:to>
    <xdr:pic>
      <xdr:nvPicPr>
        <xdr:cNvPr id="5" name="Picture 4">
          <a:hlinkClick xmlns:r="http://schemas.openxmlformats.org/officeDocument/2006/relationships" r:id="rId2" tooltip="MAIN MENU"/>
          <a:extLst>
            <a:ext uri="{FF2B5EF4-FFF2-40B4-BE49-F238E27FC236}">
              <a16:creationId xmlns:a16="http://schemas.microsoft.com/office/drawing/2014/main" id="{00000000-0008-0000-0600-000005000000}"/>
            </a:ext>
          </a:extLst>
        </xdr:cNvPr>
        <xdr:cNvPicPr>
          <a:picLocks noChangeAspect="1" noChangeArrowheads="1"/>
        </xdr:cNvPicPr>
      </xdr:nvPicPr>
      <xdr:blipFill>
        <a:blip xmlns:r="http://schemas.openxmlformats.org/officeDocument/2006/relationships" r:embed="rId3"/>
        <a:srcRect/>
        <a:stretch>
          <a:fillRect/>
        </a:stretch>
      </xdr:blipFill>
      <xdr:spPr bwMode="auto">
        <a:xfrm>
          <a:off x="7715250" y="200025"/>
          <a:ext cx="1590675" cy="476250"/>
        </a:xfrm>
        <a:prstGeom prst="roundRect">
          <a:avLst>
            <a:gd name="adj" fmla="val 4167"/>
          </a:avLst>
        </a:prstGeom>
        <a:solidFill>
          <a:srgbClr val="FFFFFF"/>
        </a:solidFill>
        <a:ln w="76200" cap="sq">
          <a:solidFill>
            <a:srgbClr val="292929"/>
          </a:solidFill>
          <a:miter lim="800000"/>
        </a:ln>
        <a:effectLst>
          <a:reflection blurRad="12700" stA="28000" endPos="28000" dist="5000" dir="5400000" sy="-100000" algn="bl" rotWithShape="0"/>
        </a:effectLst>
        <a:scene3d>
          <a:camera prst="orthographicFront"/>
          <a:lightRig rig="threePt" dir="t">
            <a:rot lat="0" lon="0" rev="2700000"/>
          </a:lightRig>
        </a:scene3d>
        <a:sp3d>
          <a:bevelT h="38100"/>
          <a:contourClr>
            <a:srgbClr val="C0C0C0"/>
          </a:contourClr>
        </a:sp3d>
      </xdr:spPr>
    </xdr:pic>
    <xdr:clientData fPrintsWithSheet="0"/>
  </xdr:twoCellAnchor>
  <xdr:twoCellAnchor editAs="oneCell">
    <xdr:from>
      <xdr:col>1</xdr:col>
      <xdr:colOff>0</xdr:colOff>
      <xdr:row>16</xdr:row>
      <xdr:rowOff>146050</xdr:rowOff>
    </xdr:from>
    <xdr:to>
      <xdr:col>1</xdr:col>
      <xdr:colOff>1944688</xdr:colOff>
      <xdr:row>20</xdr:row>
      <xdr:rowOff>157162</xdr:rowOff>
    </xdr:to>
    <xdr:pic>
      <xdr:nvPicPr>
        <xdr:cNvPr id="6" name="Picture 24" descr="Prudent emPower logo txt">
          <a:extLst>
            <a:ext uri="{FF2B5EF4-FFF2-40B4-BE49-F238E27FC236}">
              <a16:creationId xmlns:a16="http://schemas.microsoft.com/office/drawing/2014/main" id="{00000000-0008-0000-0600-000006000000}"/>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641350" y="3479800"/>
          <a:ext cx="1944688" cy="82391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161925</xdr:colOff>
      <xdr:row>0</xdr:row>
      <xdr:rowOff>104775</xdr:rowOff>
    </xdr:from>
    <xdr:to>
      <xdr:col>1</xdr:col>
      <xdr:colOff>1143000</xdr:colOff>
      <xdr:row>1</xdr:row>
      <xdr:rowOff>190500</xdr:rowOff>
    </xdr:to>
    <xdr:pic>
      <xdr:nvPicPr>
        <xdr:cNvPr id="4" name="Picture 3">
          <a:hlinkClick xmlns:r="http://schemas.openxmlformats.org/officeDocument/2006/relationships" r:id="rId1" tooltip="MAIN MENU"/>
          <a:extLst>
            <a:ext uri="{FF2B5EF4-FFF2-40B4-BE49-F238E27FC236}">
              <a16:creationId xmlns:a16="http://schemas.microsoft.com/office/drawing/2014/main" id="{00000000-0008-0000-0700-000004000000}"/>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61925" y="104775"/>
          <a:ext cx="1622425" cy="466725"/>
        </a:xfrm>
        <a:prstGeom prst="roundRect">
          <a:avLst>
            <a:gd name="adj" fmla="val 4167"/>
          </a:avLst>
        </a:prstGeom>
        <a:solidFill>
          <a:srgbClr val="FFFFFF"/>
        </a:solidFill>
        <a:ln w="76200" cap="sq">
          <a:solidFill>
            <a:srgbClr val="292929"/>
          </a:solidFill>
          <a:miter lim="800000"/>
        </a:ln>
        <a:effectLst>
          <a:reflection blurRad="12700" stA="28000" endPos="28000" dist="5000" dir="5400000" sy="-100000" algn="bl" rotWithShape="0"/>
        </a:effectLst>
        <a:scene3d>
          <a:camera prst="orthographicFront"/>
          <a:lightRig rig="threePt" dir="t">
            <a:rot lat="0" lon="0" rev="2700000"/>
          </a:lightRig>
        </a:scene3d>
        <a:sp3d>
          <a:bevelT h="38100"/>
          <a:contourClr>
            <a:srgbClr val="C0C0C0"/>
          </a:contourClr>
        </a:sp3d>
      </xdr:spPr>
    </xdr:pic>
    <xdr:clientData fPrintsWithSheet="0"/>
  </xdr:twoCellAnchor>
  <xdr:twoCellAnchor editAs="oneCell">
    <xdr:from>
      <xdr:col>5</xdr:col>
      <xdr:colOff>76200</xdr:colOff>
      <xdr:row>0</xdr:row>
      <xdr:rowOff>48088</xdr:rowOff>
    </xdr:from>
    <xdr:to>
      <xdr:col>6</xdr:col>
      <xdr:colOff>503238</xdr:colOff>
      <xdr:row>1</xdr:row>
      <xdr:rowOff>334961</xdr:rowOff>
    </xdr:to>
    <xdr:pic>
      <xdr:nvPicPr>
        <xdr:cNvPr id="5" name="Picture 24" descr="Prudent emPower logo txt">
          <a:extLst>
            <a:ext uri="{FF2B5EF4-FFF2-40B4-BE49-F238E27FC236}">
              <a16:creationId xmlns:a16="http://schemas.microsoft.com/office/drawing/2014/main" id="{00000000-0008-0000-0700-000005000000}"/>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7213600" y="48088"/>
          <a:ext cx="1576388" cy="6678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6.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17.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19.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21.xml"/><Relationship Id="rId1" Type="http://schemas.openxmlformats.org/officeDocument/2006/relationships/printerSettings" Target="../printerSettings/printerSettings20.bin"/></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22.xml"/><Relationship Id="rId1" Type="http://schemas.openxmlformats.org/officeDocument/2006/relationships/printerSettings" Target="../printerSettings/printerSettings21.bin"/></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23.xml"/><Relationship Id="rId1" Type="http://schemas.openxmlformats.org/officeDocument/2006/relationships/printerSettings" Target="../printerSettings/printerSettings22.bin"/></Relationships>
</file>

<file path=xl/worksheets/_rels/sheet24.xml.rels><?xml version="1.0" encoding="UTF-8" standalone="yes"?>
<Relationships xmlns="http://schemas.openxmlformats.org/package/2006/relationships"><Relationship Id="rId2" Type="http://schemas.openxmlformats.org/officeDocument/2006/relationships/drawing" Target="../drawings/drawing24.xml"/><Relationship Id="rId1" Type="http://schemas.openxmlformats.org/officeDocument/2006/relationships/printerSettings" Target="../printerSettings/printerSettings23.bin"/></Relationships>
</file>

<file path=xl/worksheets/_rels/sheet25.xml.rels><?xml version="1.0" encoding="UTF-8" standalone="yes"?>
<Relationships xmlns="http://schemas.openxmlformats.org/package/2006/relationships"><Relationship Id="rId1" Type="http://schemas.openxmlformats.org/officeDocument/2006/relationships/drawing" Target="../drawings/drawing25.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6.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3"/>
  <dimension ref="A1:P45"/>
  <sheetViews>
    <sheetView tabSelected="1" zoomScale="80" zoomScaleNormal="80" workbookViewId="0"/>
  </sheetViews>
  <sheetFormatPr defaultColWidth="0" defaultRowHeight="12.75" zeroHeight="1"/>
  <cols>
    <col min="1" max="16" width="9.140625" style="12" customWidth="1"/>
    <col min="17" max="16384" width="0" style="12" hidden="1"/>
  </cols>
  <sheetData>
    <row r="1" spans="1:16">
      <c r="A1" s="12" t="s">
        <v>15</v>
      </c>
    </row>
    <row r="2" spans="1:16"/>
    <row r="3" spans="1:16"/>
    <row r="4" spans="1:16"/>
    <row r="5" spans="1:16"/>
    <row r="6" spans="1:16"/>
    <row r="7" spans="1:16"/>
    <row r="8" spans="1:16"/>
    <row r="9" spans="1:16"/>
    <row r="10" spans="1:16"/>
    <row r="11" spans="1:16"/>
    <row r="12" spans="1:16"/>
    <row r="13" spans="1:16"/>
    <row r="14" spans="1:16">
      <c r="P14" s="13"/>
    </row>
    <row r="15" spans="1:16"/>
    <row r="16" spans="1:16"/>
    <row r="17" spans="1:16"/>
    <row r="18" spans="1:16"/>
    <row r="19" spans="1:16"/>
    <row r="20" spans="1:16"/>
    <row r="21" spans="1:16"/>
    <row r="22" spans="1:16"/>
    <row r="23" spans="1:16"/>
    <row r="24" spans="1:16"/>
    <row r="25" spans="1:16"/>
    <row r="26" spans="1:16"/>
    <row r="27" spans="1:16"/>
    <row r="28" spans="1:16"/>
    <row r="29" spans="1:16">
      <c r="A29" s="14"/>
      <c r="B29" s="14"/>
      <c r="C29" s="14"/>
      <c r="D29" s="14"/>
      <c r="E29" s="14"/>
      <c r="F29" s="14"/>
      <c r="G29" s="14"/>
      <c r="H29" s="14"/>
      <c r="I29" s="14"/>
      <c r="J29" s="14"/>
      <c r="K29" s="14"/>
      <c r="L29" s="14"/>
      <c r="M29" s="14"/>
      <c r="N29" s="14"/>
      <c r="O29" s="14"/>
      <c r="P29" s="14"/>
    </row>
    <row r="30" spans="1:16">
      <c r="A30" s="14"/>
      <c r="B30" s="14"/>
      <c r="C30" s="14"/>
      <c r="D30" s="14"/>
      <c r="E30" s="14"/>
      <c r="F30" s="14"/>
      <c r="G30" s="14"/>
      <c r="H30" s="14"/>
      <c r="I30" s="14"/>
      <c r="J30" s="14"/>
      <c r="K30" s="14"/>
      <c r="L30" s="14"/>
      <c r="M30" s="14"/>
      <c r="N30" s="14"/>
      <c r="O30" s="14"/>
      <c r="P30" s="14"/>
    </row>
    <row r="31" spans="1:16">
      <c r="A31" s="14"/>
      <c r="B31" s="14"/>
      <c r="C31" s="14"/>
      <c r="D31" s="14"/>
      <c r="E31" s="14"/>
      <c r="F31" s="14"/>
      <c r="G31" s="14"/>
      <c r="H31" s="14"/>
      <c r="I31" s="14"/>
      <c r="J31" s="14"/>
      <c r="K31" s="14"/>
      <c r="L31" s="14"/>
      <c r="M31" s="14"/>
      <c r="N31" s="14"/>
      <c r="O31" s="14"/>
      <c r="P31" s="14"/>
    </row>
    <row r="32" spans="1:16">
      <c r="A32" s="14"/>
      <c r="B32" s="14"/>
      <c r="C32" s="14"/>
      <c r="D32" s="14"/>
      <c r="E32" s="14"/>
      <c r="F32" s="14"/>
      <c r="G32" s="14"/>
      <c r="H32" s="14"/>
      <c r="I32" s="14"/>
      <c r="J32" s="14"/>
      <c r="K32" s="14"/>
      <c r="L32" s="14"/>
      <c r="M32" s="14"/>
      <c r="N32" s="14"/>
      <c r="O32" s="14"/>
      <c r="P32" s="14"/>
    </row>
    <row r="33" spans="1:16" ht="39.75" customHeight="1">
      <c r="A33" s="14"/>
      <c r="B33" s="14"/>
      <c r="C33" s="14"/>
      <c r="D33" s="14"/>
      <c r="E33" s="14"/>
      <c r="F33" s="15"/>
      <c r="G33" s="565"/>
      <c r="H33" s="565"/>
      <c r="I33" s="565"/>
      <c r="J33" s="14"/>
      <c r="K33" s="14"/>
      <c r="L33" s="14"/>
      <c r="M33" s="14"/>
      <c r="N33" s="14"/>
      <c r="O33" s="14"/>
      <c r="P33" s="14"/>
    </row>
    <row r="34" spans="1:16" hidden="1"/>
    <row r="35" spans="1:16" hidden="1"/>
    <row r="36" spans="1:16" hidden="1"/>
    <row r="37" spans="1:16" hidden="1"/>
    <row r="38" spans="1:16" hidden="1"/>
    <row r="39" spans="1:16" hidden="1"/>
    <row r="40" spans="1:16" hidden="1"/>
    <row r="41" spans="1:16" hidden="1"/>
    <row r="42" spans="1:16" hidden="1"/>
    <row r="43" spans="1:16" hidden="1"/>
    <row r="44" spans="1:16" hidden="1"/>
    <row r="45" spans="1:16" hidden="1"/>
  </sheetData>
  <sheetProtection algorithmName="SHA-512" hashValue="R9oept5J8YBHbdBNlA0FFhr3sB8OKhw/R+QwIlFUNvo6tR+Xw7bad+hofG6kjrM2Wfb/1IpkTlB5bLzztLY5CQ==" saltValue="Yg+LGK/C20hVNDyMnWyBFg==" spinCount="100000" sheet="1" objects="1" scenarios="1" sort="0" pivotTables="0"/>
  <mergeCells count="1">
    <mergeCell ref="G33:I33"/>
  </mergeCells>
  <pageMargins left="0.7" right="0.7" top="0.75" bottom="0.75" header="0.3" footer="0.3"/>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4"/>
  <dimension ref="A1:P30"/>
  <sheetViews>
    <sheetView showGridLines="0" workbookViewId="0">
      <selection activeCell="B2" sqref="B2:C2"/>
    </sheetView>
  </sheetViews>
  <sheetFormatPr defaultColWidth="0" defaultRowHeight="15" zeroHeight="1"/>
  <cols>
    <col min="1" max="1" width="13.85546875" style="16" bestFit="1" customWidth="1"/>
    <col min="2" max="2" width="26.5703125" style="16" bestFit="1" customWidth="1"/>
    <col min="3" max="3" width="7.140625" style="16" customWidth="1"/>
    <col min="4" max="4" width="3" style="16" customWidth="1"/>
    <col min="5" max="5" width="20.85546875" style="16" customWidth="1"/>
    <col min="6" max="6" width="14.28515625" style="16" bestFit="1" customWidth="1"/>
    <col min="7" max="10" width="9.140625" style="16" customWidth="1"/>
    <col min="11" max="13" width="9.140625" style="16" hidden="1" customWidth="1"/>
    <col min="14" max="16" width="0" style="16" hidden="1" customWidth="1"/>
    <col min="17" max="16384" width="9.140625" style="16" hidden="1"/>
  </cols>
  <sheetData>
    <row r="1" spans="1:16" ht="24" customHeight="1">
      <c r="A1" s="643" t="s">
        <v>49</v>
      </c>
      <c r="B1" s="643"/>
      <c r="C1" s="643"/>
      <c r="D1" s="643"/>
      <c r="E1" s="643"/>
      <c r="F1" s="643"/>
    </row>
    <row r="2" spans="1:16">
      <c r="A2" s="211" t="s">
        <v>50</v>
      </c>
      <c r="B2" s="644" t="str">
        <f>IF(ISBLANK(B4),"",B4)</f>
        <v>jayant singh</v>
      </c>
      <c r="C2" s="644"/>
      <c r="E2" s="211" t="s">
        <v>51</v>
      </c>
      <c r="F2" s="257">
        <f ca="1">TODAY()</f>
        <v>43325</v>
      </c>
    </row>
    <row r="3" spans="1:16" ht="33.75" customHeight="1">
      <c r="A3" s="212" t="s">
        <v>52</v>
      </c>
      <c r="B3" s="212" t="s">
        <v>8</v>
      </c>
      <c r="C3" s="212" t="s">
        <v>6</v>
      </c>
      <c r="D3" s="213"/>
      <c r="E3" s="212" t="s">
        <v>53</v>
      </c>
      <c r="F3" s="214" t="s">
        <v>158</v>
      </c>
    </row>
    <row r="4" spans="1:16">
      <c r="A4" s="215" t="s">
        <v>54</v>
      </c>
      <c r="B4" s="542" t="s">
        <v>368</v>
      </c>
      <c r="C4" s="543">
        <v>42</v>
      </c>
      <c r="D4" s="216"/>
      <c r="E4" s="217" t="s">
        <v>55</v>
      </c>
      <c r="F4" s="545">
        <v>150000</v>
      </c>
    </row>
    <row r="5" spans="1:16">
      <c r="A5" s="215" t="s">
        <v>56</v>
      </c>
      <c r="B5" s="544" t="s">
        <v>369</v>
      </c>
      <c r="C5" s="543">
        <v>35</v>
      </c>
      <c r="D5" s="216"/>
      <c r="E5" s="217" t="s">
        <v>57</v>
      </c>
      <c r="F5" s="545"/>
    </row>
    <row r="6" spans="1:16">
      <c r="A6" s="215" t="s">
        <v>58</v>
      </c>
      <c r="B6" s="544" t="s">
        <v>370</v>
      </c>
      <c r="C6" s="543">
        <v>12</v>
      </c>
      <c r="D6" s="216"/>
      <c r="E6" s="217" t="s">
        <v>59</v>
      </c>
      <c r="F6" s="545"/>
      <c r="O6" s="16" t="str">
        <f>IF(ISERROR(LEFT(B6,FIND(" ",B6,1)-1)),"",LEFT(B6,FIND(" ",B6,1)-1))</f>
        <v>aayush</v>
      </c>
      <c r="P6" s="216"/>
    </row>
    <row r="7" spans="1:16">
      <c r="A7" s="215" t="s">
        <v>60</v>
      </c>
      <c r="B7" s="544" t="s">
        <v>371</v>
      </c>
      <c r="C7" s="543">
        <v>10</v>
      </c>
      <c r="D7" s="216"/>
      <c r="E7" s="217" t="s">
        <v>61</v>
      </c>
      <c r="F7" s="545"/>
      <c r="O7" s="16" t="str">
        <f>IF(ISERROR(LEFT(B7,FIND(" ",B7,1)-1)),"",LEFT(B7,FIND(" ",B7,1)-1))</f>
        <v>aayushi</v>
      </c>
      <c r="P7" s="216"/>
    </row>
    <row r="8" spans="1:16">
      <c r="A8" s="215" t="s">
        <v>62</v>
      </c>
      <c r="B8" s="543"/>
      <c r="C8" s="543"/>
      <c r="D8" s="216"/>
      <c r="E8" s="217" t="s">
        <v>63</v>
      </c>
      <c r="F8" s="545"/>
      <c r="O8" s="16" t="str">
        <f>IF(ISERROR(LEFT(B8,FIND(" ",B8,1)-1)),"",LEFT(B8,FIND(" ",B8,1)-1))</f>
        <v/>
      </c>
      <c r="P8" s="216"/>
    </row>
    <row r="9" spans="1:16" ht="7.5" customHeight="1">
      <c r="A9" s="216"/>
      <c r="B9" s="216"/>
      <c r="C9" s="216"/>
      <c r="D9" s="216"/>
      <c r="E9" s="216"/>
      <c r="F9" s="216"/>
    </row>
    <row r="10" spans="1:16" ht="33.75" customHeight="1">
      <c r="A10" s="214" t="s">
        <v>64</v>
      </c>
      <c r="B10" s="214" t="s">
        <v>82</v>
      </c>
      <c r="C10" s="214" t="s">
        <v>81</v>
      </c>
      <c r="D10" s="216"/>
      <c r="E10" s="212" t="s">
        <v>65</v>
      </c>
      <c r="F10" s="214" t="s">
        <v>158</v>
      </c>
    </row>
    <row r="11" spans="1:16">
      <c r="A11" s="545">
        <v>1000000</v>
      </c>
      <c r="B11" s="544" t="s">
        <v>372</v>
      </c>
      <c r="C11" s="546">
        <v>10</v>
      </c>
      <c r="D11" s="216"/>
      <c r="E11" s="218" t="s">
        <v>66</v>
      </c>
      <c r="F11" s="545">
        <v>30000</v>
      </c>
      <c r="N11">
        <f>IF(OR(O11="",O11=0),"",MAX(N$3:N10)+1)</f>
        <v>1</v>
      </c>
      <c r="O11" s="16" t="str">
        <f>IF($O$6="","",$O$6&amp;"'s Higher Education")</f>
        <v>aayush's Higher Education</v>
      </c>
      <c r="P11" t="str">
        <f>IFERROR(INDEX($O$11:$O$30,MATCH(ROW()-ROW($N$10),$N$11:$N$30,0)),"")</f>
        <v>aayush's Higher Education</v>
      </c>
    </row>
    <row r="12" spans="1:16">
      <c r="A12" s="545">
        <v>1000000</v>
      </c>
      <c r="B12" s="544" t="s">
        <v>373</v>
      </c>
      <c r="C12" s="546">
        <v>13</v>
      </c>
      <c r="D12" s="216"/>
      <c r="E12" s="219" t="s">
        <v>67</v>
      </c>
      <c r="F12" s="545">
        <v>10000</v>
      </c>
      <c r="N12">
        <f>IF(OR(O12="",O12=0),"",MAX(N$3:N11)+1)</f>
        <v>2</v>
      </c>
      <c r="O12" s="16" t="str">
        <f>IF($O$6="","",$O$6&amp;"'s Graduation")</f>
        <v>aayush's Graduation</v>
      </c>
      <c r="P12" t="str">
        <f t="shared" ref="P12:P30" si="0">IFERROR(INDEX($O$11:$O$30,MATCH(ROW()-ROW($N$10),$N$11:$N$30,0)),"")</f>
        <v>aayush's Graduation</v>
      </c>
    </row>
    <row r="13" spans="1:16">
      <c r="A13" s="545">
        <v>1000000</v>
      </c>
      <c r="B13" s="544" t="s">
        <v>374</v>
      </c>
      <c r="C13" s="546">
        <v>17</v>
      </c>
      <c r="D13" s="216"/>
      <c r="E13" s="219" t="s">
        <v>68</v>
      </c>
      <c r="F13" s="545">
        <v>10000</v>
      </c>
      <c r="N13">
        <f>IF(OR(O13="",O13=0),"",MAX(N$3:N12)+1)</f>
        <v>3</v>
      </c>
      <c r="O13" s="16" t="str">
        <f>IF($O$6="","",$O$6&amp;"'s Post Graduation")</f>
        <v>aayush's Post Graduation</v>
      </c>
      <c r="P13" t="str">
        <f t="shared" si="0"/>
        <v>aayush's Post Graduation</v>
      </c>
    </row>
    <row r="14" spans="1:16">
      <c r="A14" s="545">
        <v>500000</v>
      </c>
      <c r="B14" s="543" t="s">
        <v>161</v>
      </c>
      <c r="C14" s="546">
        <v>5</v>
      </c>
      <c r="D14" s="216"/>
      <c r="E14" s="219" t="s">
        <v>69</v>
      </c>
      <c r="F14" s="545"/>
      <c r="N14">
        <f>IF(OR(O14="",O14=0),"",MAX(N$3:N13)+1)</f>
        <v>4</v>
      </c>
      <c r="O14" s="16" t="str">
        <f>IF($O$6="","",$O$6&amp;"'s Marriage")</f>
        <v>aayush's Marriage</v>
      </c>
      <c r="P14" t="str">
        <f t="shared" si="0"/>
        <v>aayush's Marriage</v>
      </c>
    </row>
    <row r="15" spans="1:16">
      <c r="A15" s="545">
        <v>750000</v>
      </c>
      <c r="B15" s="543" t="s">
        <v>160</v>
      </c>
      <c r="C15" s="546">
        <v>5</v>
      </c>
      <c r="D15" s="216"/>
      <c r="E15" s="219" t="s">
        <v>70</v>
      </c>
      <c r="F15" s="545"/>
      <c r="N15">
        <f>IF(OR(O15="",O15=0),"",MAX(N$3:N14)+1)</f>
        <v>5</v>
      </c>
      <c r="O15" s="16" t="str">
        <f>IF($O$7="","",$O$7&amp;"'s Higher Education")</f>
        <v>aayushi's Higher Education</v>
      </c>
      <c r="P15" t="str">
        <f t="shared" si="0"/>
        <v>aayushi's Higher Education</v>
      </c>
    </row>
    <row r="16" spans="1:16">
      <c r="A16" s="545">
        <v>5000000</v>
      </c>
      <c r="B16" s="543" t="s">
        <v>161</v>
      </c>
      <c r="C16" s="546">
        <v>5</v>
      </c>
      <c r="D16" s="216"/>
      <c r="E16" s="218" t="s">
        <v>71</v>
      </c>
      <c r="F16" s="545"/>
      <c r="N16">
        <f>IF(OR(O16="",O16=0),"",MAX(N$3:N15)+1)</f>
        <v>6</v>
      </c>
      <c r="O16" s="16" t="str">
        <f>IF($O$7="","",$O$7&amp;"'s Graduation")</f>
        <v>aayushi's Graduation</v>
      </c>
      <c r="P16" t="str">
        <f t="shared" si="0"/>
        <v>aayushi's Graduation</v>
      </c>
    </row>
    <row r="17" spans="1:16">
      <c r="A17" s="545"/>
      <c r="B17" s="543"/>
      <c r="C17" s="546"/>
      <c r="D17" s="216"/>
      <c r="E17" s="218" t="s">
        <v>72</v>
      </c>
      <c r="F17" s="545"/>
      <c r="N17">
        <f>IF(OR(O17="",O17=0),"",MAX(N$3:N16)+1)</f>
        <v>7</v>
      </c>
      <c r="O17" s="16" t="str">
        <f>IF($O$7="","",$O$7&amp;"'s Post Graduation")</f>
        <v>aayushi's Post Graduation</v>
      </c>
      <c r="P17" t="str">
        <f t="shared" si="0"/>
        <v>aayushi's Post Graduation</v>
      </c>
    </row>
    <row r="18" spans="1:16">
      <c r="A18" s="545"/>
      <c r="B18" s="543"/>
      <c r="C18" s="546"/>
      <c r="D18" s="216"/>
      <c r="E18" s="216"/>
      <c r="F18" s="216"/>
      <c r="N18">
        <f>IF(OR(O18="",O18=0),"",MAX(N$3:N17)+1)</f>
        <v>8</v>
      </c>
      <c r="O18" s="16" t="str">
        <f>IF($O$7="","",$O$7&amp;"'s Marriage")</f>
        <v>aayushi's Marriage</v>
      </c>
      <c r="P18" t="str">
        <f t="shared" si="0"/>
        <v>aayushi's Marriage</v>
      </c>
    </row>
    <row r="19" spans="1:16">
      <c r="A19" s="545"/>
      <c r="B19" s="543"/>
      <c r="C19" s="546"/>
      <c r="D19" s="216"/>
      <c r="E19" s="212" t="s">
        <v>73</v>
      </c>
      <c r="F19" s="212" t="s">
        <v>74</v>
      </c>
      <c r="N19" t="str">
        <f>IF(OR(O19="",O19=0),"",MAX(N$3:N18)+1)</f>
        <v/>
      </c>
      <c r="O19" s="16" t="str">
        <f>IF($O$8="","",$O$8&amp;"'s Higher Education")</f>
        <v/>
      </c>
      <c r="P19" t="str">
        <f t="shared" si="0"/>
        <v>Vacation - Domestic</v>
      </c>
    </row>
    <row r="20" spans="1:16">
      <c r="A20" s="545"/>
      <c r="B20" s="543"/>
      <c r="C20" s="546"/>
      <c r="D20" s="216"/>
      <c r="E20" s="215" t="s">
        <v>75</v>
      </c>
      <c r="F20" s="545">
        <v>100000</v>
      </c>
      <c r="N20" t="str">
        <f>IF(OR(O20="",O20=0),"",MAX(N$3:N19)+1)</f>
        <v/>
      </c>
      <c r="O20" s="16" t="str">
        <f>IF($O$8="","",$O$8&amp;"'s Graduation")</f>
        <v/>
      </c>
      <c r="P20" t="str">
        <f t="shared" si="0"/>
        <v>Vacation - International</v>
      </c>
    </row>
    <row r="21" spans="1:16">
      <c r="A21" s="545"/>
      <c r="B21" s="543"/>
      <c r="C21" s="546"/>
      <c r="D21" s="216"/>
      <c r="E21" s="215" t="s">
        <v>76</v>
      </c>
      <c r="F21" s="545">
        <v>1500000</v>
      </c>
      <c r="N21" t="str">
        <f>IF(OR(O21="",O21=0),"",MAX(N$3:N20)+1)</f>
        <v/>
      </c>
      <c r="O21" s="16" t="str">
        <f>IF($O$8="","",$O$8&amp;"'s Post Graduation")</f>
        <v/>
      </c>
      <c r="P21" t="str">
        <f t="shared" si="0"/>
        <v>Buying Car</v>
      </c>
    </row>
    <row r="22" spans="1:16">
      <c r="A22" s="220"/>
      <c r="B22" s="221"/>
      <c r="C22" s="222"/>
      <c r="D22" s="216"/>
      <c r="E22" s="215" t="s">
        <v>77</v>
      </c>
      <c r="F22" s="545"/>
      <c r="N22" t="str">
        <f>IF(OR(O22="",O22=0),"",MAX(N$3:N21)+1)</f>
        <v/>
      </c>
      <c r="O22" s="16" t="str">
        <f>IF($O$8="","",$O$8&amp;"'s Marriage")</f>
        <v/>
      </c>
      <c r="P22" t="str">
        <f t="shared" si="0"/>
        <v>Buying House</v>
      </c>
    </row>
    <row r="23" spans="1:16">
      <c r="A23" s="223"/>
      <c r="B23" s="645"/>
      <c r="C23" s="645"/>
      <c r="D23" s="216"/>
      <c r="E23" s="215" t="s">
        <v>78</v>
      </c>
      <c r="F23" s="545">
        <v>8000000</v>
      </c>
      <c r="N23">
        <f>IF(OR(O23="",O23=0),"",MAX(N$3:N22)+1)</f>
        <v>9</v>
      </c>
      <c r="O23" s="216" t="s">
        <v>162</v>
      </c>
      <c r="P23" t="str">
        <f t="shared" si="0"/>
        <v>Home Renovation</v>
      </c>
    </row>
    <row r="24" spans="1:16">
      <c r="A24" s="224"/>
      <c r="B24" s="225" t="s">
        <v>89</v>
      </c>
      <c r="C24" s="546">
        <v>60</v>
      </c>
      <c r="D24" s="216"/>
      <c r="E24" s="215" t="s">
        <v>79</v>
      </c>
      <c r="F24" s="545"/>
      <c r="N24">
        <f>IF(OR(O24="",O24=0),"",MAX(N$3:N23)+1)</f>
        <v>10</v>
      </c>
      <c r="O24" s="216" t="s">
        <v>159</v>
      </c>
      <c r="P24" t="str">
        <f t="shared" si="0"/>
        <v>Big Purchase</v>
      </c>
    </row>
    <row r="25" spans="1:16">
      <c r="A25" s="241"/>
      <c r="B25" s="225" t="s">
        <v>90</v>
      </c>
      <c r="C25" s="546">
        <v>70</v>
      </c>
      <c r="D25" s="216"/>
      <c r="E25" s="215" t="s">
        <v>80</v>
      </c>
      <c r="F25" s="545">
        <v>25000000</v>
      </c>
      <c r="N25">
        <f>IF(OR(O25="",O25=0),"",MAX(N$3:N24)+1)</f>
        <v>11</v>
      </c>
      <c r="O25" s="216" t="s">
        <v>160</v>
      </c>
      <c r="P25" t="str">
        <f t="shared" si="0"/>
        <v>Miscellaneous</v>
      </c>
    </row>
    <row r="26" spans="1:16">
      <c r="A26" s="242"/>
      <c r="N26">
        <f>IF(OR(O26="",O26=0),"",MAX(N$3:N25)+1)</f>
        <v>12</v>
      </c>
      <c r="O26" s="216" t="s">
        <v>163</v>
      </c>
      <c r="P26" t="str">
        <f t="shared" si="0"/>
        <v>Wealth Creation</v>
      </c>
    </row>
    <row r="27" spans="1:16" hidden="1">
      <c r="A27" s="242"/>
      <c r="N27">
        <f>IF(OR(O27="",O27=0),"",MAX(N$3:N26)+1)</f>
        <v>13</v>
      </c>
      <c r="O27" s="216" t="s">
        <v>164</v>
      </c>
      <c r="P27" t="str">
        <f t="shared" si="0"/>
        <v/>
      </c>
    </row>
    <row r="28" spans="1:16" hidden="1">
      <c r="A28" s="242"/>
      <c r="N28">
        <f>IF(OR(O28="",O28=0),"",MAX(N$3:N27)+1)</f>
        <v>14</v>
      </c>
      <c r="O28" s="216" t="s">
        <v>165</v>
      </c>
      <c r="P28" t="str">
        <f t="shared" si="0"/>
        <v/>
      </c>
    </row>
    <row r="29" spans="1:16" hidden="1">
      <c r="A29" s="242"/>
      <c r="N29">
        <f>IF(OR(O29="",O29=0),"",MAX(N$3:N28)+1)</f>
        <v>15</v>
      </c>
      <c r="O29" s="216" t="s">
        <v>166</v>
      </c>
      <c r="P29" t="str">
        <f t="shared" si="0"/>
        <v/>
      </c>
    </row>
    <row r="30" spans="1:16" hidden="1">
      <c r="A30" s="242"/>
      <c r="N30">
        <f>IF(OR(O30="",O30=0),"",MAX(N$3:N29)+1)</f>
        <v>16</v>
      </c>
      <c r="O30" s="216" t="s">
        <v>161</v>
      </c>
      <c r="P30" t="str">
        <f t="shared" si="0"/>
        <v/>
      </c>
    </row>
  </sheetData>
  <mergeCells count="3">
    <mergeCell ref="A1:F1"/>
    <mergeCell ref="B2:C2"/>
    <mergeCell ref="B23:C23"/>
  </mergeCells>
  <dataValidations count="1">
    <dataValidation type="list" allowBlank="1" showInputMessage="1" showErrorMessage="1" sqref="B11:B21" xr:uid="{00000000-0002-0000-0900-000000000000}">
      <formula1>GOALS</formula1>
    </dataValidation>
  </dataValidations>
  <printOptions horizontalCentered="1"/>
  <pageMargins left="0.25" right="0.25" top="0.75" bottom="0.75" header="0.3" footer="0.3"/>
  <pageSetup scale="99" orientation="portrait"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5"/>
  <dimension ref="A1:K29"/>
  <sheetViews>
    <sheetView showGridLines="0" workbookViewId="0">
      <selection activeCell="D3" sqref="D3"/>
    </sheetView>
  </sheetViews>
  <sheetFormatPr defaultColWidth="0" defaultRowHeight="12.75" zeroHeight="1"/>
  <cols>
    <col min="1" max="1" width="1.85546875" style="17" customWidth="1"/>
    <col min="2" max="2" width="31.42578125" style="17" customWidth="1"/>
    <col min="3" max="3" width="16.5703125" style="17" bestFit="1" customWidth="1"/>
    <col min="4" max="4" width="14.5703125" style="17" bestFit="1" customWidth="1"/>
    <col min="5" max="5" width="15.140625" style="17" bestFit="1" customWidth="1"/>
    <col min="6" max="6" width="11.85546875" style="17" bestFit="1" customWidth="1"/>
    <col min="7" max="7" width="11.7109375" style="17" bestFit="1" customWidth="1"/>
    <col min="8" max="8" width="9.7109375" style="17" bestFit="1" customWidth="1"/>
    <col min="9" max="9" width="13.140625" style="17" bestFit="1" customWidth="1"/>
    <col min="10" max="10" width="10" style="17" hidden="1" customWidth="1"/>
    <col min="11" max="11" width="12" style="17" customWidth="1"/>
    <col min="12" max="16384" width="9.140625" style="17" hidden="1"/>
  </cols>
  <sheetData>
    <row r="1" spans="2:10" ht="22.5" customHeight="1">
      <c r="B1" s="647" t="str">
        <f>"-: FINANCIAL PLAN of "&amp;UPPER(DCF!B4)&amp;":-"</f>
        <v>-: FINANCIAL PLAN of JAYANT SINGH:-</v>
      </c>
      <c r="C1" s="648"/>
      <c r="D1" s="648"/>
      <c r="E1" s="648"/>
      <c r="F1" s="648"/>
      <c r="G1" s="648"/>
      <c r="H1" s="648"/>
      <c r="I1" s="648"/>
    </row>
    <row r="2" spans="2:10" ht="19.5" customHeight="1">
      <c r="B2" s="552" t="s">
        <v>84</v>
      </c>
      <c r="C2" s="553" t="s">
        <v>85</v>
      </c>
      <c r="D2" s="553" t="s">
        <v>88</v>
      </c>
      <c r="E2" s="553" t="s">
        <v>86</v>
      </c>
      <c r="F2" s="553" t="s">
        <v>87</v>
      </c>
      <c r="G2" s="553" t="s">
        <v>83</v>
      </c>
      <c r="H2" s="553" t="s">
        <v>7</v>
      </c>
      <c r="I2" s="553" t="s">
        <v>100</v>
      </c>
    </row>
    <row r="3" spans="2:10" s="23" customFormat="1" ht="18" customHeight="1">
      <c r="B3" s="19" t="str">
        <f ca="1">IF(ISBLANK(DCF!B11),"",DCF!B11&amp;" ("&amp;YEAR($J$3)+DCF!C11&amp;")")</f>
        <v>aayush's Higher Education (2028)</v>
      </c>
      <c r="C3" s="20">
        <f>DCF!A11</f>
        <v>1000000</v>
      </c>
      <c r="D3" s="547">
        <v>7.0000000000000007E-2</v>
      </c>
      <c r="E3" s="21">
        <f>FV(D3,DCF!C11,,-FinPlan!C3)</f>
        <v>1967151.3572895655</v>
      </c>
      <c r="F3" s="547">
        <v>0.14000000000000001</v>
      </c>
      <c r="G3" s="21">
        <f>-PV(F3,DCF!C11,,E3,1)</f>
        <v>530626.90101555898</v>
      </c>
      <c r="H3" s="21">
        <f>IF(ISERROR(-PMT((1+F3)^(1/12)-1,DCF!C11*12,,E3,1)),0,-PMT((1+F3)^(1/12)-1,DCF!C11*12,,E3,1))</f>
        <v>7890.9424129001263</v>
      </c>
      <c r="I3" s="548" t="s">
        <v>99</v>
      </c>
      <c r="J3" s="22">
        <f ca="1">IF(ISBLANK(DCF!F2),TODAY(),DCF!F2)</f>
        <v>43325</v>
      </c>
    </row>
    <row r="4" spans="2:10" s="23" customFormat="1" ht="18" customHeight="1">
      <c r="B4" s="19" t="str">
        <f ca="1">IF(ISBLANK(DCF!B12),"",DCF!B12&amp;" ("&amp;YEAR($J$3)+DCF!C12&amp;")")</f>
        <v>aayushi's Graduation (2031)</v>
      </c>
      <c r="C4" s="20">
        <f>DCF!A12</f>
        <v>1000000</v>
      </c>
      <c r="D4" s="547">
        <v>7.0000000000000007E-2</v>
      </c>
      <c r="E4" s="21">
        <f>FV(D4,DCF!C12,,-FinPlan!C4)</f>
        <v>2409845.0001880815</v>
      </c>
      <c r="F4" s="547">
        <v>0.14000000000000001</v>
      </c>
      <c r="G4" s="21">
        <f>-PV(F4,DCF!C12,,E4,1)</f>
        <v>438759.00459304842</v>
      </c>
      <c r="H4" s="21">
        <f>IF(ISERROR(-PMT((1+F4)^(1/12)-1,DCF!C12*12,,E4,1)),0,-PMT((1+F4)^(1/12)-1,DCF!C12*12,,E4,1))</f>
        <v>5825.3823795421868</v>
      </c>
      <c r="I4" s="548" t="s">
        <v>99</v>
      </c>
      <c r="J4" s="24">
        <f>(1+D18)/(1+B18)-1</f>
        <v>2.8037383177570208E-2</v>
      </c>
    </row>
    <row r="5" spans="2:10" s="23" customFormat="1" ht="18" customHeight="1">
      <c r="B5" s="19" t="str">
        <f ca="1">IF(ISBLANK(DCF!B13),"",DCF!B13&amp;" ("&amp;YEAR($J$3)+DCF!C13&amp;")")</f>
        <v>aayushi's Post Graduation (2035)</v>
      </c>
      <c r="C5" s="20">
        <f>DCF!A13</f>
        <v>1000000</v>
      </c>
      <c r="D5" s="547">
        <v>7.0000000000000007E-2</v>
      </c>
      <c r="E5" s="21">
        <f>FV(D5,DCF!C13,,-FinPlan!C5)</f>
        <v>3158815.2109649861</v>
      </c>
      <c r="F5" s="547">
        <v>0.14000000000000001</v>
      </c>
      <c r="G5" s="21">
        <f>-PV(F5,DCF!C13,,E5,1)</f>
        <v>340519.31252904108</v>
      </c>
      <c r="H5" s="21">
        <f>IF(ISERROR(-PMT((1+F5)^(1/12)-1,DCF!C13*12,,E5,1)),0,-PMT((1+F5)^(1/12)-1,DCF!C13*12,,E5,1))</f>
        <v>4144.7108471412357</v>
      </c>
      <c r="I5" s="548" t="s">
        <v>99</v>
      </c>
      <c r="J5" s="23">
        <f>DCF!F23</f>
        <v>8000000</v>
      </c>
    </row>
    <row r="6" spans="2:10" s="23" customFormat="1" ht="18" customHeight="1">
      <c r="B6" s="19" t="str">
        <f ca="1">IF(ISBLANK(DCF!B14),"",DCF!B14&amp;" ("&amp;YEAR($J$3)+DCF!C14&amp;")")</f>
        <v>Wealth Creation (2023)</v>
      </c>
      <c r="C6" s="20">
        <f>DCF!A14</f>
        <v>500000</v>
      </c>
      <c r="D6" s="547">
        <v>7.0000000000000007E-2</v>
      </c>
      <c r="E6" s="21">
        <f>FV(D6,DCF!C14,,-FinPlan!C6)</f>
        <v>701275.86535000009</v>
      </c>
      <c r="F6" s="547">
        <v>0.14000000000000001</v>
      </c>
      <c r="G6" s="21">
        <f>-PV(F6,DCF!C14,,E6,1)</f>
        <v>364220.70953460317</v>
      </c>
      <c r="H6" s="21">
        <f>IF(ISERROR(-PMT((1+F6)^(1/12)-1,DCF!C14*12,,E6,1)),0,-PMT((1+F6)^(1/12)-1,DCF!C14*12,,E6,1))</f>
        <v>8229.3855899544797</v>
      </c>
      <c r="I6" s="548" t="s">
        <v>99</v>
      </c>
      <c r="J6" s="25">
        <f>SUMIF(I3:I13,"Yes",G3:G13)</f>
        <v>5862664.0873201881</v>
      </c>
    </row>
    <row r="7" spans="2:10" s="23" customFormat="1" ht="18" customHeight="1">
      <c r="B7" s="19" t="str">
        <f ca="1">IF(ISBLANK(DCF!B15),"",DCF!B15&amp;" ("&amp;YEAR($J$3)+DCF!C15&amp;")")</f>
        <v>Buying Car (2023)</v>
      </c>
      <c r="C7" s="20">
        <f>DCF!A15</f>
        <v>750000</v>
      </c>
      <c r="D7" s="547">
        <v>7.0000000000000007E-2</v>
      </c>
      <c r="E7" s="21">
        <f>FV(D7,DCF!C15,,-FinPlan!C7)</f>
        <v>1051913.7980250001</v>
      </c>
      <c r="F7" s="547">
        <v>0.14000000000000001</v>
      </c>
      <c r="G7" s="21">
        <f>-PV(F7,DCF!C15,,E7,1)</f>
        <v>546331.06430190476</v>
      </c>
      <c r="H7" s="21">
        <f>IF(ISERROR(-PMT((1+F7)^(1/12)-1,DCF!C15*12,,E7,1)),0,-PMT((1+F7)^(1/12)-1,DCF!C15*12,,E7,1))</f>
        <v>12344.078384931721</v>
      </c>
      <c r="I7" s="548" t="s">
        <v>99</v>
      </c>
      <c r="J7" s="24">
        <f>(1+I22)/(1+B18)-1</f>
        <v>2.8037383177570208E-2</v>
      </c>
    </row>
    <row r="8" spans="2:10" s="23" customFormat="1" ht="18" customHeight="1">
      <c r="B8" s="19" t="str">
        <f ca="1">IF(ISBLANK(DCF!B16),"",DCF!B16&amp;" ("&amp;YEAR($J$3)+DCF!C16&amp;")")</f>
        <v>Wealth Creation (2023)</v>
      </c>
      <c r="C8" s="20">
        <f>DCF!A16</f>
        <v>5000000</v>
      </c>
      <c r="D8" s="547">
        <v>7.0000000000000007E-2</v>
      </c>
      <c r="E8" s="21">
        <f>FV(D8,DCF!C16,,-FinPlan!C8)</f>
        <v>7012758.6535000009</v>
      </c>
      <c r="F8" s="547">
        <v>0.14000000000000001</v>
      </c>
      <c r="G8" s="21">
        <f>-PV(F8,DCF!C16,,E8,1)</f>
        <v>3642207.0953460317</v>
      </c>
      <c r="H8" s="21">
        <f>IF(ISERROR(-PMT((1+F8)^(1/12)-1,DCF!C16*12,,E8,1)),0,-PMT((1+F8)^(1/12)-1,DCF!C16*12,,E8,1))</f>
        <v>82293.855899544811</v>
      </c>
      <c r="I8" s="548" t="s">
        <v>99</v>
      </c>
      <c r="J8" s="23">
        <f>C22-DCF!C5</f>
        <v>50</v>
      </c>
    </row>
    <row r="9" spans="2:10" s="23" customFormat="1" ht="18" customHeight="1">
      <c r="B9" s="19" t="str">
        <f>IF(ISBLANK(DCF!B17),"",DCF!B17&amp;" ("&amp;YEAR($J$3)+DCF!C17&amp;")")</f>
        <v/>
      </c>
      <c r="C9" s="20">
        <f>DCF!A17</f>
        <v>0</v>
      </c>
      <c r="D9" s="547">
        <v>7.0000000000000007E-2</v>
      </c>
      <c r="E9" s="21">
        <f>FV(D9,DCF!C17,,-FinPlan!C9)</f>
        <v>0</v>
      </c>
      <c r="F9" s="547">
        <v>0.14000000000000001</v>
      </c>
      <c r="G9" s="21">
        <f>-PV(F9,DCF!C17,,E9,1)</f>
        <v>0</v>
      </c>
      <c r="H9" s="21">
        <f>IF(ISERROR(-PMT((1+F9)^(1/12)-1,DCF!C17*12,,E9,1)),0,-PMT((1+F9)^(1/12)-1,DCF!C17*12,,E9,1))</f>
        <v>0</v>
      </c>
      <c r="I9" s="548"/>
      <c r="J9" s="26">
        <f>E18</f>
        <v>40000</v>
      </c>
    </row>
    <row r="10" spans="2:10" s="23" customFormat="1" ht="18" customHeight="1">
      <c r="B10" s="19" t="str">
        <f>IF(ISBLANK(DCF!B18),"",DCF!B18&amp;" ("&amp;YEAR($J$3)+DCF!C18&amp;")")</f>
        <v/>
      </c>
      <c r="C10" s="20">
        <f>DCF!A18</f>
        <v>0</v>
      </c>
      <c r="D10" s="547">
        <v>7.0000000000000007E-2</v>
      </c>
      <c r="E10" s="21">
        <f>FV(D10,DCF!C18,,-FinPlan!C10)</f>
        <v>0</v>
      </c>
      <c r="F10" s="547">
        <v>0.14000000000000001</v>
      </c>
      <c r="G10" s="21">
        <f>-PV(F10,DCF!C18,,E10,1)</f>
        <v>0</v>
      </c>
      <c r="H10" s="21">
        <f>IF(ISERROR(-PMT((1+F10)^(1/12)-1,DCF!C18*12,,E10,1)),0,-PMT((1+F10)^(1/12)-1,DCF!C18*12,,E10,1))</f>
        <v>0</v>
      </c>
      <c r="I10" s="548"/>
    </row>
    <row r="11" spans="2:10" s="23" customFormat="1" ht="18" customHeight="1">
      <c r="B11" s="19" t="str">
        <f>IF(ISBLANK(DCF!B19),"",DCF!B19&amp;" ("&amp;YEAR($J$3)+DCF!C19&amp;")")</f>
        <v/>
      </c>
      <c r="C11" s="20">
        <f>DCF!A19</f>
        <v>0</v>
      </c>
      <c r="D11" s="547">
        <v>7.0000000000000007E-2</v>
      </c>
      <c r="E11" s="21">
        <f>FV(D11,DCF!C19,,-FinPlan!C11)</f>
        <v>0</v>
      </c>
      <c r="F11" s="547">
        <v>0.14000000000000001</v>
      </c>
      <c r="G11" s="21">
        <f>-PV(F11,DCF!C19,,E11,1)</f>
        <v>0</v>
      </c>
      <c r="H11" s="21">
        <f>IF(ISERROR(-PMT((1+F11)^(1/12)-1,DCF!C19*12,,E11,1)),0,-PMT((1+F11)^(1/12)-1,DCF!C19*12,,E11,1))</f>
        <v>0</v>
      </c>
      <c r="I11" s="548"/>
    </row>
    <row r="12" spans="2:10" s="23" customFormat="1" ht="18" customHeight="1">
      <c r="B12" s="19" t="str">
        <f>IF(ISBLANK(DCF!B20),"",DCF!B20&amp;" ("&amp;YEAR($J$3)+DCF!C20&amp;")")</f>
        <v/>
      </c>
      <c r="C12" s="20">
        <f>DCF!A20</f>
        <v>0</v>
      </c>
      <c r="D12" s="547">
        <v>7.0000000000000007E-2</v>
      </c>
      <c r="E12" s="21">
        <f>FV(D12,DCF!C20,,-FinPlan!C12)</f>
        <v>0</v>
      </c>
      <c r="F12" s="547">
        <v>0.14000000000000001</v>
      </c>
      <c r="G12" s="21">
        <f>-PV(F12,DCF!C20,,E12,1)</f>
        <v>0</v>
      </c>
      <c r="H12" s="21">
        <f>IF(ISERROR(-PMT((1+F12)^(1/12)-1,DCF!C20*12,,E12,1)),0,-PMT((1+F12)^(1/12)-1,DCF!C20*12,,E12,1))</f>
        <v>0</v>
      </c>
      <c r="I12" s="548"/>
    </row>
    <row r="13" spans="2:10" s="23" customFormat="1" ht="18" customHeight="1">
      <c r="B13" s="19" t="str">
        <f>IF(ISBLANK(DCF!B21),"",DCF!B21&amp;" ("&amp;YEAR($J$3)+DCF!C21&amp;")")</f>
        <v/>
      </c>
      <c r="C13" s="20">
        <f>DCF!A21</f>
        <v>0</v>
      </c>
      <c r="D13" s="547">
        <v>7.0000000000000007E-2</v>
      </c>
      <c r="E13" s="21">
        <f>FV(D13,DCF!C21,,-FinPlan!C13)</f>
        <v>0</v>
      </c>
      <c r="F13" s="547">
        <v>0.14000000000000001</v>
      </c>
      <c r="G13" s="21">
        <f>-PV(F13,DCF!C21,,E13,1)</f>
        <v>0</v>
      </c>
      <c r="H13" s="21">
        <f>IF(ISERROR(-PMT((1+F13)^(1/12)-1,DCF!C21*12,,E13,1)),0,-PMT((1+F13)^(1/12)-1,DCF!C21*12,,E13,1))</f>
        <v>0</v>
      </c>
      <c r="I13" s="548"/>
    </row>
    <row r="14" spans="2:10" s="23" customFormat="1" ht="10.5" customHeight="1">
      <c r="D14" s="27"/>
      <c r="E14" s="28"/>
      <c r="F14" s="27"/>
      <c r="G14" s="28"/>
      <c r="H14" s="28"/>
    </row>
    <row r="15" spans="2:10" s="23" customFormat="1" ht="18" customHeight="1">
      <c r="B15" s="29" t="str">
        <f ca="1">"RETIREMENT ("&amp;YEAR(J3)+(DCF!C24-DCF!C4)&amp;"):"</f>
        <v>RETIREMENT (2036):</v>
      </c>
    </row>
    <row r="16" spans="2:10" s="23" customFormat="1" ht="18" customHeight="1">
      <c r="B16" s="653" t="s">
        <v>96</v>
      </c>
      <c r="C16" s="652" t="s">
        <v>91</v>
      </c>
      <c r="D16" s="652"/>
      <c r="E16" s="653" t="s">
        <v>95</v>
      </c>
      <c r="F16" s="652"/>
      <c r="G16" s="653" t="s">
        <v>94</v>
      </c>
      <c r="H16" s="652"/>
    </row>
    <row r="17" spans="2:9" s="23" customFormat="1" ht="18" customHeight="1">
      <c r="B17" s="652"/>
      <c r="C17" s="554" t="s">
        <v>92</v>
      </c>
      <c r="D17" s="554" t="s">
        <v>93</v>
      </c>
      <c r="E17" s="652"/>
      <c r="F17" s="652"/>
      <c r="G17" s="652"/>
      <c r="H17" s="652"/>
    </row>
    <row r="18" spans="2:9" s="23" customFormat="1" ht="18" customHeight="1">
      <c r="B18" s="547">
        <v>7.0000000000000007E-2</v>
      </c>
      <c r="C18" s="547">
        <v>0.14000000000000001</v>
      </c>
      <c r="D18" s="547">
        <v>0.1</v>
      </c>
      <c r="E18" s="654">
        <f>DCF!F11+DCF!F12</f>
        <v>40000</v>
      </c>
      <c r="F18" s="654"/>
      <c r="G18" s="654">
        <f>FV(B18,DCF!C24-DCF!C4,,-FinPlan!E18)</f>
        <v>135197.29102930141</v>
      </c>
      <c r="H18" s="654"/>
    </row>
    <row r="19" spans="2:9" s="23" customFormat="1" ht="18" customHeight="1">
      <c r="B19" s="31" t="s">
        <v>97</v>
      </c>
      <c r="C19" s="20">
        <f>PV(J4,DCF!C25-DCF!C24,-FinPlan!G18*12,,1)</f>
        <v>14370703.81270528</v>
      </c>
      <c r="D19" s="18" t="s">
        <v>114</v>
      </c>
      <c r="E19" s="20">
        <f>-PV(C18,DCF!C24-DCF!C4,,FinPlan!C19,)</f>
        <v>1358910.0620824322</v>
      </c>
      <c r="F19" s="18" t="s">
        <v>115</v>
      </c>
      <c r="G19" s="650">
        <f>-PMT((1+C18)^(1/12)-1,(DCF!C24-DCF!C4)*12,,FinPlan!C19,1)</f>
        <v>16298.455080812604</v>
      </c>
      <c r="H19" s="651"/>
    </row>
    <row r="20" spans="2:9" s="23" customFormat="1" ht="18" customHeight="1" thickBot="1">
      <c r="C20" s="649" t="s">
        <v>117</v>
      </c>
      <c r="D20" s="649"/>
      <c r="E20" s="32">
        <f>SUM(DCF!F4:F8)-SUM(DCF!F11:F17)</f>
        <v>100000</v>
      </c>
      <c r="F20" s="649" t="s">
        <v>116</v>
      </c>
      <c r="G20" s="649"/>
      <c r="H20" s="32">
        <f>G19+SUM(H3:H13)</f>
        <v>137026.81059482717</v>
      </c>
    </row>
    <row r="21" spans="2:9" s="23" customFormat="1" ht="18" customHeight="1">
      <c r="B21" s="29" t="s">
        <v>101</v>
      </c>
    </row>
    <row r="22" spans="2:9" s="23" customFormat="1" ht="18" customHeight="1">
      <c r="B22" s="30" t="s">
        <v>102</v>
      </c>
      <c r="C22" s="549">
        <v>85</v>
      </c>
      <c r="D22" s="646" t="s">
        <v>104</v>
      </c>
      <c r="E22" s="646"/>
      <c r="F22" s="550">
        <v>0.2</v>
      </c>
      <c r="G22" s="646" t="s">
        <v>103</v>
      </c>
      <c r="H22" s="646"/>
      <c r="I22" s="550">
        <v>0.1</v>
      </c>
    </row>
    <row r="23" spans="2:9" s="23" customFormat="1" ht="18" customHeight="1">
      <c r="B23" s="30" t="s">
        <v>98</v>
      </c>
      <c r="C23" s="20">
        <f>-PV(J4,J8,J9*12,,1)</f>
        <v>13183611.257672947</v>
      </c>
      <c r="D23" s="646" t="s">
        <v>105</v>
      </c>
      <c r="E23" s="646"/>
      <c r="F23" s="551">
        <v>1000000</v>
      </c>
      <c r="G23" s="646" t="s">
        <v>106</v>
      </c>
      <c r="H23" s="646"/>
      <c r="I23" s="20">
        <f>C23-F23-DCF!F24-DCF!F25</f>
        <v>-12816388.742327053</v>
      </c>
    </row>
    <row r="24" spans="2:9" s="23" customFormat="1" ht="18" customHeight="1"/>
    <row r="25" spans="2:9" s="23" customFormat="1" ht="18" customHeight="1">
      <c r="B25" s="29" t="s">
        <v>107</v>
      </c>
    </row>
    <row r="26" spans="2:9" s="23" customFormat="1" ht="18" customHeight="1">
      <c r="B26" s="30" t="s">
        <v>108</v>
      </c>
      <c r="C26" s="551">
        <v>1000000</v>
      </c>
      <c r="D26" s="646" t="s">
        <v>109</v>
      </c>
      <c r="E26" s="646"/>
      <c r="F26" s="20">
        <f>DCF!F21+DCF!F22</f>
        <v>1500000</v>
      </c>
      <c r="G26" s="646" t="s">
        <v>106</v>
      </c>
      <c r="H26" s="646"/>
      <c r="I26" s="20">
        <f>C26-F26</f>
        <v>-500000</v>
      </c>
    </row>
    <row r="27" spans="2:9" s="23" customFormat="1" ht="18" customHeight="1"/>
    <row r="28" spans="2:9" s="23" customFormat="1" ht="18" customHeight="1">
      <c r="B28" s="29" t="s">
        <v>110</v>
      </c>
    </row>
    <row r="29" spans="2:9" s="23" customFormat="1" ht="18" customHeight="1">
      <c r="B29" s="30" t="s">
        <v>111</v>
      </c>
      <c r="C29" s="20">
        <f>SUM(DCF!F11:F17)</f>
        <v>50000</v>
      </c>
      <c r="D29" s="646" t="s">
        <v>112</v>
      </c>
      <c r="E29" s="646"/>
      <c r="F29" s="549">
        <v>3</v>
      </c>
      <c r="G29" s="646" t="s">
        <v>113</v>
      </c>
      <c r="H29" s="646"/>
      <c r="I29" s="20">
        <f>(C29*F29)-DCF!F20</f>
        <v>50000</v>
      </c>
    </row>
  </sheetData>
  <mergeCells count="18">
    <mergeCell ref="B1:I1"/>
    <mergeCell ref="C20:D20"/>
    <mergeCell ref="F20:G20"/>
    <mergeCell ref="G19:H19"/>
    <mergeCell ref="D22:E22"/>
    <mergeCell ref="G22:H22"/>
    <mergeCell ref="C16:D16"/>
    <mergeCell ref="E16:F17"/>
    <mergeCell ref="E18:F18"/>
    <mergeCell ref="G16:H17"/>
    <mergeCell ref="G18:H18"/>
    <mergeCell ref="B16:B17"/>
    <mergeCell ref="D29:E29"/>
    <mergeCell ref="G29:H29"/>
    <mergeCell ref="D23:E23"/>
    <mergeCell ref="G23:H23"/>
    <mergeCell ref="D26:E26"/>
    <mergeCell ref="G26:H26"/>
  </mergeCells>
  <dataValidations count="1">
    <dataValidation type="list" allowBlank="1" showInputMessage="1" showErrorMessage="1" sqref="I3:I13" xr:uid="{00000000-0002-0000-0A00-000000000000}">
      <formula1>"Yes,No"</formula1>
    </dataValidation>
  </dataValidations>
  <pageMargins left="0.7" right="0.7" top="0.75" bottom="0.75" header="0.3" footer="0.3"/>
  <pageSetup scale="98" orientation="landscape" r:id="rId1"/>
  <colBreaks count="1" manualBreakCount="1">
    <brk id="9" max="1048575" man="1"/>
  </col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P17"/>
  <sheetViews>
    <sheetView showGridLines="0" workbookViewId="0"/>
  </sheetViews>
  <sheetFormatPr defaultColWidth="0" defaultRowHeight="12.75" zeroHeight="1"/>
  <cols>
    <col min="1" max="1" width="4.140625" customWidth="1"/>
    <col min="2" max="5" width="8.7109375" customWidth="1"/>
    <col min="6" max="6" width="15.5703125" bestFit="1" customWidth="1"/>
    <col min="7" max="11" width="8.7109375" customWidth="1"/>
    <col min="12" max="12" width="15.5703125" bestFit="1" customWidth="1"/>
    <col min="13" max="16" width="8.7109375" customWidth="1"/>
    <col min="17" max="16384" width="8.7109375" hidden="1"/>
  </cols>
  <sheetData>
    <row r="1" spans="2:12" ht="22.5" customHeight="1" thickBot="1">
      <c r="B1" s="658" t="s">
        <v>213</v>
      </c>
      <c r="C1" s="658"/>
      <c r="D1" s="658"/>
      <c r="E1" s="658"/>
      <c r="F1" s="658"/>
      <c r="G1" s="658"/>
      <c r="H1" s="658"/>
      <c r="I1" s="658"/>
      <c r="J1" s="658"/>
      <c r="K1" s="658"/>
      <c r="L1" s="658"/>
    </row>
    <row r="2" spans="2:12" ht="15.95" customHeight="1" thickTop="1">
      <c r="B2" s="655" t="s">
        <v>215</v>
      </c>
      <c r="C2" s="656"/>
      <c r="D2" s="656"/>
      <c r="E2" s="656"/>
      <c r="F2" s="657"/>
      <c r="H2" s="655" t="s">
        <v>216</v>
      </c>
      <c r="I2" s="656"/>
      <c r="J2" s="656"/>
      <c r="K2" s="656"/>
      <c r="L2" s="657"/>
    </row>
    <row r="3" spans="2:12" ht="15.95" customHeight="1">
      <c r="B3" s="244"/>
      <c r="C3" s="243"/>
      <c r="D3" s="243"/>
      <c r="E3" s="243"/>
      <c r="F3" s="245"/>
      <c r="H3" s="244"/>
      <c r="I3" s="243"/>
      <c r="J3" s="243"/>
      <c r="K3" s="243"/>
      <c r="L3" s="245"/>
    </row>
    <row r="4" spans="2:12" ht="15.95" customHeight="1">
      <c r="B4" s="246" t="s">
        <v>203</v>
      </c>
      <c r="C4" s="234"/>
      <c r="D4" s="234"/>
      <c r="E4" s="235"/>
      <c r="F4" s="555">
        <v>100000000</v>
      </c>
      <c r="H4" s="246" t="s">
        <v>205</v>
      </c>
      <c r="I4" s="234"/>
      <c r="J4" s="234"/>
      <c r="K4" s="235"/>
      <c r="L4" s="555">
        <v>370722131</v>
      </c>
    </row>
    <row r="5" spans="2:12" ht="15.95" customHeight="1">
      <c r="B5" s="246" t="s">
        <v>130</v>
      </c>
      <c r="C5" s="234"/>
      <c r="D5" s="234"/>
      <c r="E5" s="235"/>
      <c r="F5" s="557">
        <v>10</v>
      </c>
      <c r="H5" s="246" t="s">
        <v>130</v>
      </c>
      <c r="I5" s="234"/>
      <c r="J5" s="234"/>
      <c r="K5" s="235"/>
      <c r="L5" s="557">
        <v>10</v>
      </c>
    </row>
    <row r="6" spans="2:12" ht="15.95" customHeight="1">
      <c r="B6" s="246" t="s">
        <v>204</v>
      </c>
      <c r="C6" s="234"/>
      <c r="D6" s="234"/>
      <c r="E6" s="235"/>
      <c r="F6" s="556">
        <v>0.14000000000000001</v>
      </c>
      <c r="H6" s="246" t="s">
        <v>204</v>
      </c>
      <c r="I6" s="234"/>
      <c r="J6" s="234"/>
      <c r="K6" s="235"/>
      <c r="L6" s="556">
        <v>0.14000000000000001</v>
      </c>
    </row>
    <row r="7" spans="2:12" ht="15.95" customHeight="1">
      <c r="B7" s="244"/>
      <c r="C7" s="243"/>
      <c r="D7" s="243"/>
      <c r="E7" s="243"/>
      <c r="F7" s="245"/>
      <c r="H7" s="244"/>
      <c r="I7" s="243"/>
      <c r="J7" s="243"/>
      <c r="K7" s="243"/>
      <c r="L7" s="245"/>
    </row>
    <row r="8" spans="2:12" ht="15.95" customHeight="1" thickBot="1">
      <c r="B8" s="247" t="s">
        <v>14</v>
      </c>
      <c r="C8" s="248"/>
      <c r="D8" s="248"/>
      <c r="E8" s="249"/>
      <c r="F8" s="250">
        <f>FV(F6,F5,,-F4)</f>
        <v>370722131.41185707</v>
      </c>
      <c r="H8" s="247" t="s">
        <v>206</v>
      </c>
      <c r="I8" s="248"/>
      <c r="J8" s="248"/>
      <c r="K8" s="249"/>
      <c r="L8" s="250">
        <f>-PV(L6,L5,,L4)</f>
        <v>99999999.888904095</v>
      </c>
    </row>
    <row r="9" spans="2:12" ht="15.95" customHeight="1" thickTop="1" thickBot="1"/>
    <row r="10" spans="2:12" ht="15.95" customHeight="1" thickTop="1">
      <c r="B10" s="655" t="s">
        <v>217</v>
      </c>
      <c r="C10" s="656"/>
      <c r="D10" s="656"/>
      <c r="E10" s="656"/>
      <c r="F10" s="657"/>
      <c r="H10" s="655" t="s">
        <v>218</v>
      </c>
      <c r="I10" s="656"/>
      <c r="J10" s="656"/>
      <c r="K10" s="656"/>
      <c r="L10" s="657"/>
    </row>
    <row r="11" spans="2:12" ht="15.95" customHeight="1">
      <c r="B11" s="244"/>
      <c r="C11" s="243"/>
      <c r="D11" s="243"/>
      <c r="E11" s="243"/>
      <c r="F11" s="245"/>
      <c r="H11" s="244"/>
      <c r="I11" s="243"/>
      <c r="J11" s="243"/>
      <c r="K11" s="243"/>
      <c r="L11" s="245"/>
    </row>
    <row r="12" spans="2:12" ht="15.95" customHeight="1">
      <c r="B12" s="246" t="s">
        <v>203</v>
      </c>
      <c r="C12" s="234"/>
      <c r="D12" s="234"/>
      <c r="E12" s="235"/>
      <c r="F12" s="555">
        <v>100000000</v>
      </c>
      <c r="H12" s="246" t="s">
        <v>203</v>
      </c>
      <c r="I12" s="234"/>
      <c r="J12" s="234"/>
      <c r="K12" s="235"/>
      <c r="L12" s="555">
        <v>100000000</v>
      </c>
    </row>
    <row r="13" spans="2:12" ht="15.95" customHeight="1">
      <c r="B13" s="246" t="s">
        <v>205</v>
      </c>
      <c r="C13" s="234"/>
      <c r="D13" s="234"/>
      <c r="E13" s="235"/>
      <c r="F13" s="555">
        <v>370722131</v>
      </c>
      <c r="H13" s="246" t="s">
        <v>205</v>
      </c>
      <c r="I13" s="234"/>
      <c r="J13" s="234"/>
      <c r="K13" s="235"/>
      <c r="L13" s="555">
        <v>370722131</v>
      </c>
    </row>
    <row r="14" spans="2:12" ht="15.95" customHeight="1">
      <c r="B14" s="246" t="s">
        <v>204</v>
      </c>
      <c r="C14" s="234"/>
      <c r="D14" s="234"/>
      <c r="E14" s="235"/>
      <c r="F14" s="556">
        <v>0.14000000000000001</v>
      </c>
      <c r="H14" s="246" t="s">
        <v>130</v>
      </c>
      <c r="I14" s="234"/>
      <c r="J14" s="234"/>
      <c r="K14" s="235"/>
      <c r="L14" s="557">
        <v>10</v>
      </c>
    </row>
    <row r="15" spans="2:12" ht="15.95" customHeight="1">
      <c r="B15" s="244"/>
      <c r="C15" s="243"/>
      <c r="D15" s="243"/>
      <c r="E15" s="243"/>
      <c r="F15" s="245"/>
      <c r="H15" s="244"/>
      <c r="I15" s="243"/>
      <c r="J15" s="243"/>
      <c r="K15" s="243"/>
      <c r="L15" s="245"/>
    </row>
    <row r="16" spans="2:12" ht="15.95" customHeight="1" thickBot="1">
      <c r="B16" s="247" t="s">
        <v>207</v>
      </c>
      <c r="C16" s="248"/>
      <c r="D16" s="248"/>
      <c r="E16" s="249"/>
      <c r="F16" s="251">
        <f>NPER(F14,,-F12,F13)</f>
        <v>9.9999999915212268</v>
      </c>
      <c r="H16" s="247" t="s">
        <v>208</v>
      </c>
      <c r="I16" s="248"/>
      <c r="J16" s="248"/>
      <c r="K16" s="249"/>
      <c r="L16" s="252">
        <f>RATE(L14,,-L12,L13)</f>
        <v>0.13999999987335093</v>
      </c>
    </row>
    <row r="17" ht="13.5" thickTop="1"/>
  </sheetData>
  <mergeCells count="5">
    <mergeCell ref="B2:F2"/>
    <mergeCell ref="H2:L2"/>
    <mergeCell ref="B10:F10"/>
    <mergeCell ref="H10:L10"/>
    <mergeCell ref="B1:L1"/>
  </mergeCells>
  <pageMargins left="0.7" right="0.7" top="0.75" bottom="0.75" header="0.3" footer="0.3"/>
  <pageSetup paperSize="9" orientation="landscape"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P17"/>
  <sheetViews>
    <sheetView showGridLines="0" workbookViewId="0">
      <selection activeCell="N16" sqref="N16"/>
    </sheetView>
  </sheetViews>
  <sheetFormatPr defaultColWidth="0" defaultRowHeight="12.75" zeroHeight="1"/>
  <cols>
    <col min="1" max="1" width="4.140625" customWidth="1"/>
    <col min="2" max="5" width="8.7109375" customWidth="1"/>
    <col min="6" max="6" width="15.5703125" bestFit="1" customWidth="1"/>
    <col min="7" max="11" width="8.7109375" customWidth="1"/>
    <col min="12" max="12" width="15.5703125" bestFit="1" customWidth="1"/>
    <col min="13" max="16" width="8.7109375" customWidth="1"/>
    <col min="17" max="16384" width="8.7109375" hidden="1"/>
  </cols>
  <sheetData>
    <row r="1" spans="1:12" ht="22.5" customHeight="1" thickBot="1">
      <c r="A1" s="558"/>
      <c r="B1" s="658" t="s">
        <v>212</v>
      </c>
      <c r="C1" s="658"/>
      <c r="D1" s="658"/>
      <c r="E1" s="658"/>
      <c r="F1" s="658"/>
      <c r="G1" s="658"/>
      <c r="H1" s="658"/>
      <c r="I1" s="658"/>
      <c r="J1" s="658"/>
      <c r="K1" s="658"/>
      <c r="L1" s="658"/>
    </row>
    <row r="2" spans="1:12" ht="15.95" customHeight="1" thickTop="1">
      <c r="B2" s="655" t="s">
        <v>219</v>
      </c>
      <c r="C2" s="656"/>
      <c r="D2" s="656"/>
      <c r="E2" s="656"/>
      <c r="F2" s="657"/>
      <c r="H2" s="655" t="s">
        <v>220</v>
      </c>
      <c r="I2" s="656"/>
      <c r="J2" s="656"/>
      <c r="K2" s="656"/>
      <c r="L2" s="657"/>
    </row>
    <row r="3" spans="1:12" ht="15.95" customHeight="1">
      <c r="B3" s="244"/>
      <c r="C3" s="243"/>
      <c r="D3" s="243"/>
      <c r="E3" s="243"/>
      <c r="F3" s="245"/>
      <c r="H3" s="244"/>
      <c r="I3" s="243"/>
      <c r="J3" s="243"/>
      <c r="K3" s="243"/>
      <c r="L3" s="245"/>
    </row>
    <row r="4" spans="1:12" ht="15.95" customHeight="1">
      <c r="B4" s="246" t="s">
        <v>209</v>
      </c>
      <c r="C4" s="234"/>
      <c r="D4" s="234"/>
      <c r="E4" s="235"/>
      <c r="F4" s="555">
        <v>25000</v>
      </c>
      <c r="H4" s="246" t="s">
        <v>205</v>
      </c>
      <c r="I4" s="234"/>
      <c r="J4" s="234"/>
      <c r="K4" s="235"/>
      <c r="L4" s="555">
        <v>6232308</v>
      </c>
    </row>
    <row r="5" spans="1:12" ht="15.95" customHeight="1">
      <c r="B5" s="246" t="s">
        <v>130</v>
      </c>
      <c r="C5" s="234"/>
      <c r="D5" s="234"/>
      <c r="E5" s="235"/>
      <c r="F5" s="557">
        <v>10</v>
      </c>
      <c r="H5" s="246" t="s">
        <v>130</v>
      </c>
      <c r="I5" s="234"/>
      <c r="J5" s="234"/>
      <c r="K5" s="235"/>
      <c r="L5" s="557">
        <v>10</v>
      </c>
    </row>
    <row r="6" spans="1:12" ht="15.95" customHeight="1">
      <c r="B6" s="246" t="s">
        <v>204</v>
      </c>
      <c r="C6" s="234"/>
      <c r="D6" s="234"/>
      <c r="E6" s="235"/>
      <c r="F6" s="556">
        <v>0.14000000000000001</v>
      </c>
      <c r="H6" s="246" t="s">
        <v>204</v>
      </c>
      <c r="I6" s="234"/>
      <c r="J6" s="234"/>
      <c r="K6" s="235"/>
      <c r="L6" s="556">
        <v>0.14000000000000001</v>
      </c>
    </row>
    <row r="7" spans="1:12" ht="15.95" customHeight="1">
      <c r="B7" s="244"/>
      <c r="C7" s="243"/>
      <c r="D7" s="243"/>
      <c r="E7" s="243"/>
      <c r="F7" s="245"/>
      <c r="H7" s="244"/>
      <c r="I7" s="243"/>
      <c r="J7" s="243"/>
      <c r="K7" s="243"/>
      <c r="L7" s="245"/>
    </row>
    <row r="8" spans="1:12" ht="15.95" customHeight="1" thickBot="1">
      <c r="B8" s="253" t="s">
        <v>14</v>
      </c>
      <c r="C8" s="248"/>
      <c r="D8" s="248"/>
      <c r="E8" s="249"/>
      <c r="F8" s="250">
        <f>FV((1+F6)^(1/12)-1,F5*12,-F4,,1)</f>
        <v>6232308.0512970965</v>
      </c>
      <c r="H8" s="253" t="s">
        <v>210</v>
      </c>
      <c r="I8" s="248"/>
      <c r="J8" s="248"/>
      <c r="K8" s="249"/>
      <c r="L8" s="250">
        <f>-PMT((1+L6)^(1/12)-1,L5*12,,L4,1)</f>
        <v>24999.999794229167</v>
      </c>
    </row>
    <row r="9" spans="1:12" ht="15.95" customHeight="1" thickTop="1" thickBot="1"/>
    <row r="10" spans="1:12" ht="15.95" customHeight="1" thickTop="1">
      <c r="B10" s="655" t="s">
        <v>217</v>
      </c>
      <c r="C10" s="656"/>
      <c r="D10" s="656"/>
      <c r="E10" s="656"/>
      <c r="F10" s="657"/>
      <c r="H10" s="655" t="s">
        <v>218</v>
      </c>
      <c r="I10" s="656"/>
      <c r="J10" s="656"/>
      <c r="K10" s="656"/>
      <c r="L10" s="657"/>
    </row>
    <row r="11" spans="1:12" ht="15.95" customHeight="1">
      <c r="B11" s="244"/>
      <c r="C11" s="243"/>
      <c r="D11" s="243"/>
      <c r="E11" s="243"/>
      <c r="F11" s="245"/>
      <c r="H11" s="244"/>
      <c r="I11" s="243"/>
      <c r="J11" s="243"/>
      <c r="K11" s="243"/>
      <c r="L11" s="245"/>
    </row>
    <row r="12" spans="1:12" ht="15.95" customHeight="1">
      <c r="B12" s="246" t="s">
        <v>209</v>
      </c>
      <c r="C12" s="234"/>
      <c r="D12" s="234"/>
      <c r="E12" s="235"/>
      <c r="F12" s="555">
        <v>25000</v>
      </c>
      <c r="H12" s="246" t="s">
        <v>209</v>
      </c>
      <c r="I12" s="234"/>
      <c r="J12" s="234"/>
      <c r="K12" s="235"/>
      <c r="L12" s="555">
        <v>25000</v>
      </c>
    </row>
    <row r="13" spans="1:12" ht="15.95" customHeight="1">
      <c r="B13" s="246" t="s">
        <v>205</v>
      </c>
      <c r="C13" s="234"/>
      <c r="D13" s="234"/>
      <c r="E13" s="235"/>
      <c r="F13" s="555">
        <v>6232308</v>
      </c>
      <c r="H13" s="246" t="s">
        <v>205</v>
      </c>
      <c r="I13" s="234"/>
      <c r="J13" s="234"/>
      <c r="K13" s="235"/>
      <c r="L13" s="555">
        <v>6232308</v>
      </c>
    </row>
    <row r="14" spans="1:12" ht="15.95" customHeight="1">
      <c r="B14" s="246" t="s">
        <v>204</v>
      </c>
      <c r="C14" s="234"/>
      <c r="D14" s="234"/>
      <c r="E14" s="235"/>
      <c r="F14" s="556">
        <v>0.14000000000000001</v>
      </c>
      <c r="H14" s="246" t="s">
        <v>130</v>
      </c>
      <c r="I14" s="234"/>
      <c r="J14" s="234"/>
      <c r="K14" s="235"/>
      <c r="L14" s="557">
        <v>10</v>
      </c>
    </row>
    <row r="15" spans="1:12" ht="15.95" customHeight="1">
      <c r="B15" s="244"/>
      <c r="C15" s="243"/>
      <c r="D15" s="243"/>
      <c r="E15" s="243"/>
      <c r="F15" s="245"/>
      <c r="H15" s="244"/>
      <c r="I15" s="243"/>
      <c r="J15" s="243"/>
      <c r="K15" s="243"/>
      <c r="L15" s="245"/>
    </row>
    <row r="16" spans="1:12" ht="15.95" customHeight="1" thickBot="1">
      <c r="B16" s="253" t="s">
        <v>207</v>
      </c>
      <c r="C16" s="248"/>
      <c r="D16" s="248"/>
      <c r="E16" s="249"/>
      <c r="F16" s="251">
        <f>NPER((1+F14)^(1/12)-1,-F12,,F13,1)/12</f>
        <v>9.9999999541273237</v>
      </c>
      <c r="H16" s="253" t="s">
        <v>208</v>
      </c>
      <c r="I16" s="248"/>
      <c r="J16" s="248"/>
      <c r="K16" s="249"/>
      <c r="L16" s="252">
        <f>(1+RATE(L14*12,-L12,,L13,1))^12-1</f>
        <v>0.13999999846265321</v>
      </c>
    </row>
    <row r="17" ht="13.5" thickTop="1"/>
  </sheetData>
  <mergeCells count="5">
    <mergeCell ref="B2:F2"/>
    <mergeCell ref="H2:L2"/>
    <mergeCell ref="B10:F10"/>
    <mergeCell ref="H10:L10"/>
    <mergeCell ref="B1:L1"/>
  </mergeCells>
  <pageMargins left="0.7" right="0.7" top="0.75" bottom="0.75" header="0.3" footer="0.3"/>
  <pageSetup paperSize="9" orientation="landscape"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B1:G16"/>
  <sheetViews>
    <sheetView showGridLines="0" workbookViewId="0">
      <selection activeCell="C2" sqref="C2"/>
    </sheetView>
  </sheetViews>
  <sheetFormatPr defaultColWidth="8.7109375" defaultRowHeight="15"/>
  <cols>
    <col min="1" max="1" width="2.140625" style="258" customWidth="1"/>
    <col min="2" max="2" width="15" style="258" bestFit="1" customWidth="1"/>
    <col min="3" max="3" width="14.140625" style="258" customWidth="1"/>
    <col min="4" max="4" width="1.85546875" style="258" customWidth="1"/>
    <col min="5" max="5" width="36.85546875" style="258" bestFit="1" customWidth="1"/>
    <col min="6" max="6" width="15.140625" style="258" bestFit="1" customWidth="1"/>
    <col min="7" max="7" width="16.85546875" style="258" bestFit="1" customWidth="1"/>
    <col min="8" max="16384" width="8.7109375" style="258"/>
  </cols>
  <sheetData>
    <row r="1" spans="2:7" ht="15.75" thickBot="1"/>
    <row r="2" spans="2:7" ht="20.100000000000001" customHeight="1" thickBot="1">
      <c r="B2" s="259" t="s">
        <v>224</v>
      </c>
      <c r="C2" s="471">
        <v>1000000</v>
      </c>
      <c r="D2" s="261"/>
      <c r="E2" s="469" t="s">
        <v>225</v>
      </c>
      <c r="F2" s="470" t="s">
        <v>226</v>
      </c>
      <c r="G2" s="470" t="s">
        <v>227</v>
      </c>
    </row>
    <row r="3" spans="2:7" ht="20.100000000000001" customHeight="1" thickBot="1">
      <c r="B3" s="259" t="s">
        <v>228</v>
      </c>
      <c r="C3" s="472">
        <v>0.08</v>
      </c>
      <c r="D3" s="261"/>
      <c r="E3" s="263" t="s">
        <v>229</v>
      </c>
      <c r="F3" s="264">
        <f>C2</f>
        <v>1000000</v>
      </c>
      <c r="G3" s="264">
        <f>C2</f>
        <v>1000000</v>
      </c>
    </row>
    <row r="4" spans="2:7" ht="20.100000000000001" customHeight="1" thickBot="1">
      <c r="B4" s="259" t="s">
        <v>167</v>
      </c>
      <c r="C4" s="473">
        <v>0.312</v>
      </c>
      <c r="D4" s="261"/>
      <c r="E4" s="475" t="s">
        <v>230</v>
      </c>
      <c r="F4" s="476">
        <f>C3</f>
        <v>0.08</v>
      </c>
      <c r="G4" s="476">
        <f>C3</f>
        <v>0.08</v>
      </c>
    </row>
    <row r="5" spans="2:7" ht="20.100000000000001" customHeight="1" thickBot="1">
      <c r="B5" s="259" t="s">
        <v>4</v>
      </c>
      <c r="C5" s="472">
        <v>7.0000000000000007E-2</v>
      </c>
      <c r="D5" s="261"/>
      <c r="E5" s="263" t="s">
        <v>231</v>
      </c>
      <c r="F5" s="265">
        <f>C6</f>
        <v>5</v>
      </c>
      <c r="G5" s="265">
        <f>C6</f>
        <v>5</v>
      </c>
    </row>
    <row r="6" spans="2:7" ht="20.100000000000001" customHeight="1" thickBot="1">
      <c r="B6" s="266" t="s">
        <v>232</v>
      </c>
      <c r="C6" s="474">
        <v>5</v>
      </c>
      <c r="D6" s="261"/>
      <c r="E6" s="475" t="s">
        <v>233</v>
      </c>
      <c r="F6" s="477">
        <f>FV(F4,F5,,-F3)</f>
        <v>1469328.0768000004</v>
      </c>
      <c r="G6" s="477">
        <f>FV(G4,G5,,-G3)</f>
        <v>1469328.0768000004</v>
      </c>
    </row>
    <row r="7" spans="2:7" ht="20.100000000000001" customHeight="1" thickBot="1">
      <c r="D7" s="261"/>
      <c r="E7" s="263" t="s">
        <v>234</v>
      </c>
      <c r="F7" s="265" t="s">
        <v>235</v>
      </c>
      <c r="G7" s="264">
        <f>G6-G3</f>
        <v>469328.07680000039</v>
      </c>
    </row>
    <row r="8" spans="2:7" ht="20.100000000000001" customHeight="1" thickBot="1">
      <c r="B8" s="659" t="s">
        <v>236</v>
      </c>
      <c r="C8" s="660"/>
      <c r="D8" s="261"/>
      <c r="E8" s="475" t="s">
        <v>237</v>
      </c>
      <c r="F8" s="478">
        <f>C5</f>
        <v>7.0000000000000007E-2</v>
      </c>
      <c r="G8" s="479" t="s">
        <v>235</v>
      </c>
    </row>
    <row r="9" spans="2:7" ht="20.100000000000001" customHeight="1" thickBot="1">
      <c r="B9" s="660"/>
      <c r="C9" s="660"/>
      <c r="D9" s="261"/>
      <c r="E9" s="263" t="s">
        <v>238</v>
      </c>
      <c r="F9" s="267">
        <f>FV(F8,F5,,-F3)</f>
        <v>1402551.7307000002</v>
      </c>
      <c r="G9" s="268" t="s">
        <v>235</v>
      </c>
    </row>
    <row r="10" spans="2:7" ht="20.100000000000001" customHeight="1" thickBot="1">
      <c r="B10" s="660"/>
      <c r="C10" s="660"/>
      <c r="D10" s="261"/>
      <c r="E10" s="475" t="s">
        <v>239</v>
      </c>
      <c r="F10" s="480">
        <f>(F6-F3)</f>
        <v>469328.07680000039</v>
      </c>
      <c r="G10" s="479" t="s">
        <v>235</v>
      </c>
    </row>
    <row r="11" spans="2:7" ht="20.100000000000001" customHeight="1" thickBot="1">
      <c r="D11" s="261"/>
      <c r="E11" s="263" t="s">
        <v>240</v>
      </c>
      <c r="F11" s="264">
        <f>F6-F9</f>
        <v>66776.346100000199</v>
      </c>
      <c r="G11" s="268" t="s">
        <v>235</v>
      </c>
    </row>
    <row r="12" spans="2:7" ht="20.100000000000001" customHeight="1" thickBot="1">
      <c r="D12" s="261"/>
      <c r="E12" s="475" t="s">
        <v>241</v>
      </c>
      <c r="F12" s="476">
        <v>0.20599999999999999</v>
      </c>
      <c r="G12" s="476">
        <f>C4</f>
        <v>0.312</v>
      </c>
    </row>
    <row r="13" spans="2:7" ht="30" customHeight="1" thickBot="1">
      <c r="D13" s="261"/>
      <c r="E13" s="263" t="s">
        <v>242</v>
      </c>
      <c r="F13" s="264">
        <f>F12*F11</f>
        <v>13755.927296600041</v>
      </c>
      <c r="G13" s="264">
        <f>G12*G7</f>
        <v>146430.35996160013</v>
      </c>
    </row>
    <row r="14" spans="2:7" ht="20.100000000000001" customHeight="1" thickBot="1">
      <c r="D14" s="261"/>
      <c r="E14" s="475" t="s">
        <v>243</v>
      </c>
      <c r="F14" s="481">
        <f>F10-F13</f>
        <v>455572.14950340037</v>
      </c>
      <c r="G14" s="481">
        <f>G7-G13</f>
        <v>322897.71683840023</v>
      </c>
    </row>
    <row r="15" spans="2:7" ht="20.100000000000001" customHeight="1" thickBot="1">
      <c r="D15" s="261"/>
      <c r="E15" s="263" t="s">
        <v>233</v>
      </c>
      <c r="F15" s="264">
        <f>F3+F14</f>
        <v>1455572.1495034003</v>
      </c>
      <c r="G15" s="264">
        <f>G3+G14</f>
        <v>1322897.7168384003</v>
      </c>
    </row>
    <row r="16" spans="2:7" ht="20.100000000000001" customHeight="1" thickBot="1">
      <c r="D16" s="261"/>
      <c r="E16" s="269" t="s">
        <v>244</v>
      </c>
      <c r="F16" s="270">
        <f>RATE(F5,,-F3,F15)</f>
        <v>7.7970180947625894E-2</v>
      </c>
      <c r="G16" s="271">
        <f>RATE(G5,,-G3,G15)</f>
        <v>5.7560577643950991E-2</v>
      </c>
    </row>
  </sheetData>
  <mergeCells count="1">
    <mergeCell ref="B8:C10"/>
  </mergeCells>
  <dataValidations count="3">
    <dataValidation operator="greaterThanOrEqual" allowBlank="1" showInputMessage="1" showErrorMessage="1" errorTitle="Wrong value entered!!!" error="Enter whole number which is &gt;= 3" sqref="F5:G5" xr:uid="{00000000-0002-0000-0D00-000000000000}"/>
    <dataValidation type="whole" operator="greaterThanOrEqual" allowBlank="1" showInputMessage="1" showErrorMessage="1" errorTitle="Wrong value entered!!!" error="Enter whole number which is &gt;= 3" prompt="Enter whole number which is &gt;= 3" sqref="C6" xr:uid="{00000000-0002-0000-0D00-000001000000}">
      <formula1>3</formula1>
    </dataValidation>
    <dataValidation type="list" allowBlank="1" showInputMessage="1" showErrorMessage="1" sqref="C4" xr:uid="{00000000-0002-0000-0D00-000002000000}">
      <formula1>"5.20%,20.80%,31.20%"</formula1>
    </dataValidation>
  </dataValidations>
  <pageMargins left="0.7" right="0.7" top="0.75" bottom="0.75" header="0.3" footer="0.3"/>
  <pageSetup paperSize="9" orientation="portrait"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B1:P16"/>
  <sheetViews>
    <sheetView showGridLines="0" workbookViewId="0"/>
  </sheetViews>
  <sheetFormatPr defaultColWidth="8.7109375" defaultRowHeight="15"/>
  <cols>
    <col min="1" max="1" width="1.85546875" style="274" customWidth="1"/>
    <col min="2" max="2" width="14.7109375" style="274" bestFit="1" customWidth="1"/>
    <col min="3" max="7" width="12.85546875" style="274" customWidth="1"/>
    <col min="8" max="8" width="1.85546875" style="274" customWidth="1"/>
    <col min="9" max="12" width="12.85546875" style="274" customWidth="1"/>
    <col min="13" max="14" width="8.7109375" style="274"/>
    <col min="15" max="15" width="8.7109375" style="274" hidden="1" customWidth="1"/>
    <col min="16" max="16384" width="8.7109375" style="274"/>
  </cols>
  <sheetData>
    <row r="1" spans="2:16">
      <c r="B1" s="661" t="s">
        <v>315</v>
      </c>
      <c r="C1" s="661"/>
    </row>
    <row r="2" spans="2:16" s="272" customFormat="1" ht="20.100000000000001" customHeight="1">
      <c r="B2" s="662"/>
      <c r="C2" s="662"/>
      <c r="G2" s="273" t="s">
        <v>245</v>
      </c>
      <c r="O2" s="272" t="s">
        <v>246</v>
      </c>
    </row>
    <row r="3" spans="2:16" s="272" customFormat="1" ht="20.100000000000001" customHeight="1">
      <c r="B3" s="259" t="s">
        <v>224</v>
      </c>
      <c r="C3" s="510">
        <v>500000</v>
      </c>
      <c r="G3" s="664" t="s">
        <v>246</v>
      </c>
      <c r="H3" s="664"/>
      <c r="I3" s="664"/>
      <c r="O3" s="272" t="s">
        <v>226</v>
      </c>
    </row>
    <row r="4" spans="2:16" s="272" customFormat="1" ht="20.100000000000001" customHeight="1">
      <c r="B4" s="259" t="s">
        <v>167</v>
      </c>
      <c r="C4" s="511">
        <v>0.312</v>
      </c>
      <c r="G4" s="273" t="s">
        <v>248</v>
      </c>
      <c r="K4" s="273" t="s">
        <v>296</v>
      </c>
    </row>
    <row r="5" spans="2:16" s="272" customFormat="1" ht="20.100000000000001" customHeight="1">
      <c r="B5" s="259" t="s">
        <v>4</v>
      </c>
      <c r="C5" s="512">
        <v>7.0000000000000007E-2</v>
      </c>
      <c r="G5" s="665">
        <v>0.1</v>
      </c>
      <c r="H5" s="665"/>
      <c r="I5" s="665"/>
      <c r="K5" s="666">
        <v>0.1</v>
      </c>
      <c r="L5" s="667"/>
    </row>
    <row r="6" spans="2:16">
      <c r="B6" s="668" t="str">
        <f>IF(ISBLANK(G3),"SUMMARY CASH-FLOW for 5 years in case of SWP from Debt Fund vs. Dividend Payout","SUMMARY CASH-FLOW for 5 years in case of SWP from "&amp;G3&amp;" vs. Dividend Payout")</f>
        <v>SUMMARY CASH-FLOW for 5 years in case of SWP from Balanced /Equity vs. Dividend Payout</v>
      </c>
      <c r="C6" s="668"/>
      <c r="D6" s="668"/>
      <c r="E6" s="668"/>
      <c r="F6" s="668"/>
      <c r="G6" s="668"/>
      <c r="H6" s="668"/>
      <c r="I6" s="668"/>
      <c r="J6" s="668"/>
      <c r="K6" s="668"/>
      <c r="L6" s="668"/>
      <c r="M6" s="663" t="s">
        <v>316</v>
      </c>
      <c r="N6" s="663"/>
      <c r="O6" s="663"/>
      <c r="P6" s="663"/>
    </row>
    <row r="7" spans="2:16">
      <c r="B7" s="668"/>
      <c r="C7" s="668"/>
      <c r="D7" s="668"/>
      <c r="E7" s="668"/>
      <c r="F7" s="668"/>
      <c r="G7" s="668"/>
      <c r="H7" s="668"/>
      <c r="I7" s="668"/>
      <c r="J7" s="668"/>
      <c r="K7" s="668"/>
      <c r="L7" s="668"/>
      <c r="M7" s="663"/>
      <c r="N7" s="663"/>
      <c r="O7" s="663"/>
      <c r="P7" s="663"/>
    </row>
    <row r="8" spans="2:16">
      <c r="B8" s="275" t="str">
        <f>"SWP from "&amp;IF(ISBLANK(G3),"Debt Fund",G3)</f>
        <v>SWP from Balanced /Equity</v>
      </c>
      <c r="I8" s="275" t="str">
        <f>"Dividend Payout from "&amp;IF(ISBLANK(G3),"Debt Fund",G3)</f>
        <v>Dividend Payout from Balanced /Equity</v>
      </c>
      <c r="M8" s="663"/>
      <c r="N8" s="663"/>
      <c r="O8" s="663"/>
      <c r="P8" s="663"/>
    </row>
    <row r="9" spans="2:16" s="272" customFormat="1" ht="30">
      <c r="B9" s="504" t="s">
        <v>32</v>
      </c>
      <c r="C9" s="505" t="s">
        <v>37</v>
      </c>
      <c r="D9" s="506" t="s">
        <v>249</v>
      </c>
      <c r="E9" s="506" t="s">
        <v>250</v>
      </c>
      <c r="F9" s="506" t="s">
        <v>251</v>
      </c>
      <c r="G9" s="507" t="s">
        <v>252</v>
      </c>
      <c r="H9" s="509"/>
      <c r="I9" s="504" t="s">
        <v>32</v>
      </c>
      <c r="J9" s="505" t="s">
        <v>37</v>
      </c>
      <c r="K9" s="506" t="s">
        <v>253</v>
      </c>
      <c r="L9" s="507" t="s">
        <v>252</v>
      </c>
      <c r="M9" s="663"/>
      <c r="N9" s="663"/>
      <c r="O9" s="663"/>
      <c r="P9" s="663"/>
    </row>
    <row r="10" spans="2:16" s="272" customFormat="1" ht="20.100000000000001" customHeight="1">
      <c r="B10" s="276">
        <v>1</v>
      </c>
      <c r="C10" s="375">
        <f>'SWP_CashFlow (2)'!C19</f>
        <v>49999.999999999993</v>
      </c>
      <c r="D10" s="277">
        <f>'SWP_CashFlow (2)'!J19</f>
        <v>374.69510666831991</v>
      </c>
      <c r="E10" s="278"/>
      <c r="F10" s="279">
        <f>D10+E10</f>
        <v>374.69510666831991</v>
      </c>
      <c r="G10" s="280">
        <f>'SWP_CashFlow (2)'!J20</f>
        <v>7.4939021333663989E-3</v>
      </c>
      <c r="I10" s="276">
        <v>1</v>
      </c>
      <c r="J10" s="279">
        <f>'SWP_CashFlow (2)'!N19</f>
        <v>49999.999999999993</v>
      </c>
      <c r="K10" s="279">
        <f>'SWP_CashFlow (2)'!S19</f>
        <v>5824.0000000000036</v>
      </c>
      <c r="L10" s="281">
        <f>'SWP_CashFlow (2)'!S20</f>
        <v>0.11648000000000008</v>
      </c>
      <c r="M10" s="663"/>
      <c r="N10" s="663"/>
      <c r="O10" s="663"/>
      <c r="P10" s="663"/>
    </row>
    <row r="11" spans="2:16" s="272" customFormat="1" ht="20.100000000000001" customHeight="1">
      <c r="B11" s="276">
        <v>2</v>
      </c>
      <c r="C11" s="375">
        <f>'SWP_CashFlow (2)'!C33</f>
        <v>49999.999999999993</v>
      </c>
      <c r="D11" s="277">
        <f>IF(OR(ISBLANK(G3),G3="Debt Fund"),'SWP_CashFlow (2)'!J33,0)</f>
        <v>0</v>
      </c>
      <c r="E11" s="373">
        <f>IF(G3="Balanced /Equity",'SWP_CashFlow (2)'!J33,0)</f>
        <v>0</v>
      </c>
      <c r="F11" s="279">
        <f t="shared" ref="F11:F14" si="0">D11+E11</f>
        <v>0</v>
      </c>
      <c r="G11" s="280">
        <f>'SWP_CashFlow (2)'!J34</f>
        <v>0</v>
      </c>
      <c r="I11" s="276">
        <v>2</v>
      </c>
      <c r="J11" s="279">
        <f>'SWP_CashFlow (2)'!N33</f>
        <v>49999.999999999993</v>
      </c>
      <c r="K11" s="279">
        <f>'SWP_CashFlow (2)'!S33</f>
        <v>5824.0000000000036</v>
      </c>
      <c r="L11" s="281">
        <f>'SWP_CashFlow (2)'!S34</f>
        <v>0.11648000000000008</v>
      </c>
      <c r="M11" s="663"/>
      <c r="N11" s="663"/>
      <c r="O11" s="663"/>
      <c r="P11" s="663"/>
    </row>
    <row r="12" spans="2:16" s="272" customFormat="1" ht="20.100000000000001" customHeight="1">
      <c r="B12" s="276">
        <v>3</v>
      </c>
      <c r="C12" s="375">
        <f>'SWP_CashFlow (2)'!C47</f>
        <v>49999.999999999993</v>
      </c>
      <c r="D12" s="277">
        <f>IF(OR(ISBLANK(G3),G3="Debt Fund"),'SWP_CashFlow (2)'!J47,0)</f>
        <v>0</v>
      </c>
      <c r="E12" s="373">
        <f>IF(G3="Balanced /Equity",'SWP_CashFlow (2)'!J47,0)</f>
        <v>0</v>
      </c>
      <c r="F12" s="279">
        <f t="shared" si="0"/>
        <v>0</v>
      </c>
      <c r="G12" s="280">
        <f>'SWP_CashFlow (2)'!J48</f>
        <v>0</v>
      </c>
      <c r="I12" s="276">
        <v>3</v>
      </c>
      <c r="J12" s="279">
        <f>'SWP_CashFlow (2)'!N47</f>
        <v>49999.999999999993</v>
      </c>
      <c r="K12" s="279">
        <f>'SWP_CashFlow (2)'!S47</f>
        <v>5824.0000000000036</v>
      </c>
      <c r="L12" s="281">
        <f>'SWP_CashFlow (2)'!S48</f>
        <v>0.11648000000000008</v>
      </c>
      <c r="M12" s="663"/>
      <c r="N12" s="663"/>
      <c r="O12" s="663"/>
      <c r="P12" s="663"/>
    </row>
    <row r="13" spans="2:16" s="272" customFormat="1" ht="20.100000000000001" customHeight="1">
      <c r="B13" s="276">
        <v>4</v>
      </c>
      <c r="C13" s="375">
        <f>'SWP_CashFlow (2)'!C61</f>
        <v>49999.999999999993</v>
      </c>
      <c r="D13" s="278"/>
      <c r="E13" s="374">
        <f>'SWP_CashFlow (2)'!J61</f>
        <v>0</v>
      </c>
      <c r="F13" s="279">
        <f t="shared" si="0"/>
        <v>0</v>
      </c>
      <c r="G13" s="280">
        <f>'SWP_CashFlow (2)'!J62</f>
        <v>0</v>
      </c>
      <c r="I13" s="276">
        <v>4</v>
      </c>
      <c r="J13" s="279">
        <f>'SWP_CashFlow (2)'!N61</f>
        <v>49999.999999999993</v>
      </c>
      <c r="K13" s="279">
        <f>'SWP_CashFlow (2)'!S61</f>
        <v>5824.0000000000036</v>
      </c>
      <c r="L13" s="281">
        <f>'SWP_CashFlow (2)'!S62</f>
        <v>0.11648000000000008</v>
      </c>
      <c r="M13" s="663"/>
      <c r="N13" s="663"/>
      <c r="O13" s="663"/>
      <c r="P13" s="663"/>
    </row>
    <row r="14" spans="2:16" s="272" customFormat="1" ht="20.100000000000001" customHeight="1">
      <c r="B14" s="276">
        <v>5</v>
      </c>
      <c r="C14" s="375">
        <f>'SWP_CashFlow (2)'!C75</f>
        <v>49999.999999999993</v>
      </c>
      <c r="D14" s="278"/>
      <c r="E14" s="374">
        <f>'SWP_CashFlow (2)'!J75</f>
        <v>0</v>
      </c>
      <c r="F14" s="279">
        <f t="shared" si="0"/>
        <v>0</v>
      </c>
      <c r="G14" s="280">
        <f>'SWP_CashFlow (2)'!J76</f>
        <v>0</v>
      </c>
      <c r="I14" s="276">
        <v>5</v>
      </c>
      <c r="J14" s="279">
        <f>'SWP_CashFlow (2)'!N75</f>
        <v>49999.999999999993</v>
      </c>
      <c r="K14" s="279">
        <f>'SWP_CashFlow (2)'!S75</f>
        <v>5824.0000000000036</v>
      </c>
      <c r="L14" s="281">
        <f>'SWP_CashFlow (2)'!S76</f>
        <v>0.11648000000000008</v>
      </c>
      <c r="M14" s="663"/>
      <c r="N14" s="663"/>
      <c r="O14" s="663"/>
      <c r="P14" s="663"/>
    </row>
    <row r="15" spans="2:16" s="272" customFormat="1" ht="20.100000000000001" customHeight="1">
      <c r="B15" s="282" t="s">
        <v>254</v>
      </c>
      <c r="C15" s="283">
        <f>SUM(C10:C14)</f>
        <v>249999.99999999997</v>
      </c>
      <c r="D15" s="284"/>
      <c r="E15" s="284"/>
      <c r="F15" s="285">
        <f>SUM(F10:F14)</f>
        <v>374.69510666831991</v>
      </c>
      <c r="G15" s="286">
        <f>SUM(G10:G14)/5</f>
        <v>1.4987804266732797E-3</v>
      </c>
      <c r="H15" s="287"/>
      <c r="I15" s="282" t="s">
        <v>254</v>
      </c>
      <c r="J15" s="283">
        <f>SUM(J10:J14)</f>
        <v>249999.99999999997</v>
      </c>
      <c r="K15" s="285">
        <f>SUM(K10:K14)</f>
        <v>29120.000000000018</v>
      </c>
      <c r="L15" s="286">
        <f>SUM(L10:L14)/5</f>
        <v>0.1164800000000001</v>
      </c>
      <c r="M15" s="663"/>
      <c r="N15" s="663"/>
      <c r="O15" s="663"/>
      <c r="P15" s="663"/>
    </row>
    <row r="16" spans="2:16">
      <c r="B16" s="288" t="s">
        <v>314</v>
      </c>
      <c r="C16" s="289"/>
      <c r="D16" s="376">
        <f>'SWP_CashFlow (2)'!K74</f>
        <v>486249.8747019532</v>
      </c>
      <c r="E16" s="289"/>
      <c r="F16" s="289"/>
      <c r="G16" s="290"/>
      <c r="I16" s="288" t="s">
        <v>314</v>
      </c>
      <c r="J16" s="289"/>
      <c r="K16" s="376">
        <f>'SWP_CashFlow (2)'!T74</f>
        <v>486249.87470195087</v>
      </c>
      <c r="L16" s="290"/>
      <c r="M16" s="663"/>
      <c r="N16" s="663"/>
      <c r="O16" s="663"/>
      <c r="P16" s="663"/>
    </row>
  </sheetData>
  <mergeCells count="6">
    <mergeCell ref="B1:C2"/>
    <mergeCell ref="M6:P16"/>
    <mergeCell ref="G3:I3"/>
    <mergeCell ref="G5:I5"/>
    <mergeCell ref="K5:L5"/>
    <mergeCell ref="B6:L7"/>
  </mergeCells>
  <dataValidations count="2">
    <dataValidation type="list" allowBlank="1" showInputMessage="1" showErrorMessage="1" sqref="G3:I3" xr:uid="{00000000-0002-0000-0E00-000000000000}">
      <formula1>Validation</formula1>
    </dataValidation>
    <dataValidation type="list" allowBlank="1" showInputMessage="1" showErrorMessage="1" sqref="C4" xr:uid="{00000000-0002-0000-0E00-000001000000}">
      <formula1>"5.20%,20.80%,31.20%"</formula1>
    </dataValidation>
  </dataValidations>
  <pageMargins left="0.7" right="0.7" top="0.75" bottom="0.75" header="0.3" footer="0.3"/>
  <pageSetup paperSize="9" orientation="portrait" verticalDpi="0"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B1:Z76"/>
  <sheetViews>
    <sheetView showGridLines="0" workbookViewId="0">
      <pane ySplit="5" topLeftCell="A6" activePane="bottomLeft" state="frozen"/>
      <selection pane="bottomLeft" activeCell="T19" sqref="T19:T20"/>
    </sheetView>
  </sheetViews>
  <sheetFormatPr defaultColWidth="8.7109375" defaultRowHeight="15"/>
  <cols>
    <col min="1" max="1" width="1.42578125" style="336" customWidth="1"/>
    <col min="2" max="2" width="9.5703125" style="336" bestFit="1" customWidth="1"/>
    <col min="3" max="3" width="12.140625" style="336" bestFit="1" customWidth="1"/>
    <col min="4" max="4" width="7" style="336" bestFit="1" customWidth="1"/>
    <col min="5" max="5" width="11.28515625" style="336" customWidth="1"/>
    <col min="6" max="6" width="14.5703125" style="336" bestFit="1" customWidth="1"/>
    <col min="7" max="7" width="10.85546875" style="336" customWidth="1"/>
    <col min="8" max="9" width="11.5703125" style="336" bestFit="1" customWidth="1"/>
    <col min="10" max="10" width="12.140625" style="336" bestFit="1" customWidth="1"/>
    <col min="11" max="11" width="13" style="336" bestFit="1" customWidth="1"/>
    <col min="12" max="12" width="5" style="336" customWidth="1"/>
    <col min="13" max="13" width="6.5703125" style="336" bestFit="1" customWidth="1"/>
    <col min="14" max="14" width="10.5703125" style="336" bestFit="1" customWidth="1"/>
    <col min="15" max="15" width="11.5703125" style="336" bestFit="1" customWidth="1"/>
    <col min="16" max="16" width="10.28515625" style="336" bestFit="1" customWidth="1"/>
    <col min="17" max="17" width="6.85546875" style="336" bestFit="1" customWidth="1"/>
    <col min="18" max="18" width="6.42578125" style="336" bestFit="1" customWidth="1"/>
    <col min="19" max="19" width="11.42578125" style="336" bestFit="1" customWidth="1"/>
    <col min="20" max="20" width="13" style="336" bestFit="1" customWidth="1"/>
    <col min="21" max="21" width="10.5703125" style="336" bestFit="1" customWidth="1"/>
    <col min="22" max="25" width="8.7109375" style="336"/>
    <col min="26" max="26" width="9" style="336" bestFit="1" customWidth="1"/>
    <col min="27" max="16384" width="8.7109375" style="336"/>
  </cols>
  <sheetData>
    <row r="1" spans="2:26">
      <c r="B1" s="335" t="s">
        <v>297</v>
      </c>
      <c r="C1" s="335"/>
      <c r="D1" s="513" t="s">
        <v>378</v>
      </c>
      <c r="E1" s="514"/>
      <c r="F1" s="518">
        <f>'Debt_FD_SWP (2)'!G5</f>
        <v>0.1</v>
      </c>
      <c r="G1" s="669" t="s">
        <v>298</v>
      </c>
      <c r="H1" s="669"/>
      <c r="I1" s="669"/>
      <c r="L1" s="337"/>
      <c r="M1" s="338" t="s">
        <v>299</v>
      </c>
      <c r="U1" s="339"/>
      <c r="V1" s="339"/>
      <c r="Z1" s="340"/>
    </row>
    <row r="2" spans="2:26">
      <c r="B2" s="516" t="s">
        <v>255</v>
      </c>
      <c r="C2" s="517">
        <f>'Debt_FD_SWP (2)'!C3</f>
        <v>500000</v>
      </c>
      <c r="D2" s="670" t="s">
        <v>379</v>
      </c>
      <c r="E2" s="671"/>
      <c r="F2" s="519">
        <f>'Debt_FD_SWP (2)'!K5</f>
        <v>0.1</v>
      </c>
      <c r="G2" s="672" t="str">
        <f>IF(ISNA((INDEX(B7:C74,MATCH(0,C7:C74,0),1)-1)),"Yes!", "No, it will last for "&amp; (INDEX(B7:C74,MATCH(0,C7:C74,0),1)-1)&amp;" months")</f>
        <v>Yes!</v>
      </c>
      <c r="H2" s="672"/>
      <c r="I2" s="672"/>
      <c r="K2" s="341">
        <f>IF(G2="Yes!",60, (INDEX(B7:C74,MATCH(0,C7:C74,0),1)-1))</f>
        <v>60</v>
      </c>
      <c r="L2" s="337"/>
      <c r="M2" s="521" t="s">
        <v>300</v>
      </c>
      <c r="N2" s="342" t="s">
        <v>301</v>
      </c>
      <c r="O2" s="343">
        <v>0.1</v>
      </c>
      <c r="P2" s="344" t="s">
        <v>302</v>
      </c>
      <c r="Q2" s="345">
        <v>0.12</v>
      </c>
      <c r="R2" s="346"/>
      <c r="S2" s="346" t="s">
        <v>303</v>
      </c>
      <c r="T2" s="343">
        <v>0.04</v>
      </c>
      <c r="U2" s="339"/>
      <c r="V2" s="340"/>
      <c r="Z2" s="340"/>
    </row>
    <row r="3" spans="2:26">
      <c r="B3" s="673" t="s">
        <v>304</v>
      </c>
      <c r="C3" s="675" t="str">
        <f>'Debt_FD_SWP (2)'!G3</f>
        <v>Balanced /Equity</v>
      </c>
      <c r="D3" s="670" t="s">
        <v>4</v>
      </c>
      <c r="E3" s="671"/>
      <c r="F3" s="518">
        <f>'Debt_FD_SWP (2)'!C5</f>
        <v>7.0000000000000007E-2</v>
      </c>
      <c r="G3" s="677" t="s">
        <v>305</v>
      </c>
      <c r="H3" s="677"/>
      <c r="I3" s="677"/>
      <c r="K3" s="347"/>
      <c r="L3" s="347"/>
      <c r="M3" s="522" t="s">
        <v>306</v>
      </c>
      <c r="N3" s="342" t="s">
        <v>301</v>
      </c>
      <c r="O3" s="343">
        <v>0.25</v>
      </c>
      <c r="P3" s="344" t="s">
        <v>302</v>
      </c>
      <c r="Q3" s="345">
        <v>0.12</v>
      </c>
      <c r="R3" s="346"/>
      <c r="S3" s="346" t="s">
        <v>303</v>
      </c>
      <c r="T3" s="343">
        <v>0.04</v>
      </c>
      <c r="U3" s="339"/>
    </row>
    <row r="4" spans="2:26">
      <c r="B4" s="674"/>
      <c r="C4" s="676"/>
      <c r="D4" s="515" t="s">
        <v>380</v>
      </c>
      <c r="E4" s="514"/>
      <c r="F4" s="520">
        <f>'Debt_FD_SWP (2)'!C4</f>
        <v>0.312</v>
      </c>
      <c r="G4" s="678">
        <f>VLOOKUP(K2,B7:K74,10,0)</f>
        <v>486249.8747019532</v>
      </c>
      <c r="H4" s="678"/>
      <c r="I4" s="678"/>
      <c r="K4" s="347"/>
      <c r="L4" s="341">
        <f>IF(F2&gt;F1,0,1)</f>
        <v>1</v>
      </c>
      <c r="M4" s="348" t="str">
        <f>IF(L4=0,"Withdrawal% can't be &gt; return% in case of dividend calculation.","")</f>
        <v/>
      </c>
    </row>
    <row r="5" spans="2:26" ht="45">
      <c r="B5" s="349" t="s">
        <v>256</v>
      </c>
      <c r="C5" s="350" t="s">
        <v>257</v>
      </c>
      <c r="D5" s="351" t="s">
        <v>258</v>
      </c>
      <c r="E5" s="352" t="s">
        <v>259</v>
      </c>
      <c r="F5" s="349" t="s">
        <v>260</v>
      </c>
      <c r="G5" s="349" t="s">
        <v>261</v>
      </c>
      <c r="H5" s="349" t="s">
        <v>262</v>
      </c>
      <c r="I5" s="350" t="s">
        <v>263</v>
      </c>
      <c r="J5" s="350" t="s">
        <v>264</v>
      </c>
      <c r="K5" s="353" t="s">
        <v>265</v>
      </c>
      <c r="L5" s="354"/>
      <c r="M5" s="349" t="s">
        <v>256</v>
      </c>
      <c r="N5" s="350" t="s">
        <v>307</v>
      </c>
      <c r="O5" s="350" t="s">
        <v>308</v>
      </c>
      <c r="P5" s="350" t="s">
        <v>309</v>
      </c>
      <c r="Q5" s="350" t="s">
        <v>310</v>
      </c>
      <c r="R5" s="350" t="s">
        <v>311</v>
      </c>
      <c r="S5" s="350" t="s">
        <v>264</v>
      </c>
      <c r="T5" s="353" t="s">
        <v>265</v>
      </c>
    </row>
    <row r="6" spans="2:26">
      <c r="B6" s="355">
        <v>0</v>
      </c>
      <c r="C6" s="356">
        <f>$C$2*$F$2/12</f>
        <v>4166.666666666667</v>
      </c>
      <c r="D6" s="349"/>
      <c r="E6" s="350"/>
      <c r="F6" s="357">
        <f>C2/10</f>
        <v>50000</v>
      </c>
      <c r="G6" s="349"/>
      <c r="H6" s="349"/>
      <c r="I6" s="349"/>
      <c r="J6" s="349"/>
      <c r="K6" s="353"/>
      <c r="L6" s="358"/>
      <c r="M6" s="355">
        <v>0</v>
      </c>
      <c r="N6" s="350"/>
      <c r="O6" s="359"/>
      <c r="P6" s="359"/>
      <c r="Q6" s="349"/>
      <c r="R6" s="350"/>
      <c r="S6" s="359"/>
      <c r="T6" s="353"/>
    </row>
    <row r="7" spans="2:26">
      <c r="B7" s="360">
        <v>1</v>
      </c>
      <c r="C7" s="361">
        <f t="shared" ref="C7:C18" si="0">IF(C6=0,                   0, IF((C6/D7)&gt;F6,                                                         IF(F6=0, 0, F6*D7),                                                                               $C$2*$F$2/12))</f>
        <v>4166.666666666667</v>
      </c>
      <c r="D7" s="362">
        <f>10*(1+(NOMINAL($F$1,12)/12))</f>
        <v>10.079741404289038</v>
      </c>
      <c r="E7" s="362">
        <f>IF((C7/D7)&gt;F6,F6,(C7/D7))</f>
        <v>413.37039310291289</v>
      </c>
      <c r="F7" s="357">
        <f t="shared" ref="F7:F18" si="1">F6-E7</f>
        <v>49586.629606897084</v>
      </c>
      <c r="G7" s="362">
        <f>E7*(D7-10)</f>
        <v>32.962735637537975</v>
      </c>
      <c r="H7" s="362"/>
      <c r="I7" s="362"/>
      <c r="J7" s="357">
        <f>IF($C$3="Balanced /Equity",G7*15%,G7*$F$4)</f>
        <v>4.944410345630696</v>
      </c>
      <c r="K7" s="361">
        <f t="shared" ref="K7:K18" si="2">D7*F7</f>
        <v>499820.40354778519</v>
      </c>
      <c r="L7" s="363"/>
      <c r="M7" s="360">
        <v>1</v>
      </c>
      <c r="N7" s="361">
        <f t="shared" ref="N7:N18" si="3">IF($L$4=1,$C$2*$F$2/12,0)</f>
        <v>4166.666666666667</v>
      </c>
      <c r="O7" s="364">
        <f t="shared" ref="O7:O18" si="4">IF($L$4=1,IF($C$3="Balanced /Equity",N7*(1-(E_DDT*(1+E_Surcharge)*(1+E_ServiceTax))),N7*(1-(D_DDT*(1+D_Surcharge)*(1+D_ServiceTax)))),0)</f>
        <v>3681.3333333333335</v>
      </c>
      <c r="P7" s="365">
        <f t="shared" ref="P7:P18" si="5">IF($L$4=1,N7/(10*$F$6),0)</f>
        <v>8.3333333333333332E-3</v>
      </c>
      <c r="Q7" s="362">
        <f t="shared" ref="Q7" si="6">IF($L$4=1,10*(1+(NOMINAL($F$1,12)/12)),0)</f>
        <v>10.079741404289038</v>
      </c>
      <c r="R7" s="362">
        <f t="shared" ref="R7:R18" si="7">IF($L$4=1, Q7-(P7*10),0)</f>
        <v>9.9964080709557042</v>
      </c>
      <c r="S7" s="364">
        <f t="shared" ref="S7:S18" si="8">IF($L$4 =1, N7-O7,0)</f>
        <v>485.33333333333348</v>
      </c>
      <c r="T7" s="361">
        <f t="shared" ref="T7:T18" si="9">IF($L$4 =1, $F$6*R7, 0)</f>
        <v>499820.40354778519</v>
      </c>
    </row>
    <row r="8" spans="2:26">
      <c r="B8" s="360">
        <v>2</v>
      </c>
      <c r="C8" s="361">
        <f t="shared" si="0"/>
        <v>4166.666666666667</v>
      </c>
      <c r="D8" s="362">
        <f t="shared" ref="D8:D18" si="10">D7*(1+(NOMINAL($F$1,12)/12))</f>
        <v>10.160118677733875</v>
      </c>
      <c r="E8" s="362">
        <f t="shared" ref="E8:E18" si="11">IF((C8/D8)&gt;F7,F7,(C8/D8))</f>
        <v>410.10019654573614</v>
      </c>
      <c r="F8" s="366">
        <f t="shared" si="1"/>
        <v>49176.529410351352</v>
      </c>
      <c r="G8" s="362">
        <f t="shared" ref="G8:G18" si="12">E8*(D8-10)</f>
        <v>65.66470120930552</v>
      </c>
      <c r="H8" s="362"/>
      <c r="I8" s="362"/>
      <c r="J8" s="357">
        <f t="shared" ref="J8:J18" si="13">IF($C$3="Balanced /Equity",G8*15%,G8*$F$4)</f>
        <v>9.8497051813958283</v>
      </c>
      <c r="K8" s="361">
        <f t="shared" si="2"/>
        <v>499639.37496823998</v>
      </c>
      <c r="L8" s="363"/>
      <c r="M8" s="360">
        <v>2</v>
      </c>
      <c r="N8" s="361">
        <f t="shared" si="3"/>
        <v>4166.666666666667</v>
      </c>
      <c r="O8" s="364">
        <f t="shared" si="4"/>
        <v>3681.3333333333335</v>
      </c>
      <c r="P8" s="365">
        <f t="shared" si="5"/>
        <v>8.3333333333333332E-3</v>
      </c>
      <c r="Q8" s="362">
        <f t="shared" ref="Q8:Q17" si="14">IF($L$4=1,R7*(1+(NOMINAL($F$1,12)/12)),0)</f>
        <v>10.076120832698132</v>
      </c>
      <c r="R8" s="362">
        <f t="shared" si="7"/>
        <v>9.9927874993647983</v>
      </c>
      <c r="S8" s="364">
        <f t="shared" si="8"/>
        <v>485.33333333333348</v>
      </c>
      <c r="T8" s="361">
        <f t="shared" si="9"/>
        <v>499639.37496823992</v>
      </c>
    </row>
    <row r="9" spans="2:26">
      <c r="B9" s="355">
        <v>3</v>
      </c>
      <c r="C9" s="361">
        <f t="shared" si="0"/>
        <v>4166.666666666667</v>
      </c>
      <c r="D9" s="362">
        <f t="shared" si="10"/>
        <v>10.241136890844453</v>
      </c>
      <c r="E9" s="362">
        <f t="shared" si="11"/>
        <v>406.8558706984627</v>
      </c>
      <c r="F9" s="366">
        <f t="shared" si="1"/>
        <v>48769.673539652889</v>
      </c>
      <c r="G9" s="362">
        <f t="shared" si="12"/>
        <v>98.107959682040217</v>
      </c>
      <c r="H9" s="362"/>
      <c r="I9" s="362"/>
      <c r="J9" s="357">
        <f t="shared" si="13"/>
        <v>14.716193952306032</v>
      </c>
      <c r="K9" s="361">
        <f t="shared" si="2"/>
        <v>499456.90284137981</v>
      </c>
      <c r="L9" s="363"/>
      <c r="M9" s="355">
        <v>3</v>
      </c>
      <c r="N9" s="361">
        <f t="shared" si="3"/>
        <v>4166.666666666667</v>
      </c>
      <c r="O9" s="364">
        <f t="shared" si="4"/>
        <v>3681.3333333333335</v>
      </c>
      <c r="P9" s="365">
        <f t="shared" si="5"/>
        <v>8.3333333333333332E-3</v>
      </c>
      <c r="Q9" s="362">
        <f t="shared" si="14"/>
        <v>10.072471390160928</v>
      </c>
      <c r="R9" s="362">
        <f t="shared" si="7"/>
        <v>9.9891380568275938</v>
      </c>
      <c r="S9" s="364">
        <f t="shared" si="8"/>
        <v>485.33333333333348</v>
      </c>
      <c r="T9" s="361">
        <f t="shared" si="9"/>
        <v>499456.90284137969</v>
      </c>
    </row>
    <row r="10" spans="2:26">
      <c r="B10" s="360">
        <v>4</v>
      </c>
      <c r="C10" s="361">
        <f t="shared" si="0"/>
        <v>4166.666666666667</v>
      </c>
      <c r="D10" s="362">
        <f t="shared" si="10"/>
        <v>10.322801154563674</v>
      </c>
      <c r="E10" s="362">
        <f t="shared" si="11"/>
        <v>403.63721089644338</v>
      </c>
      <c r="F10" s="366">
        <f t="shared" si="1"/>
        <v>48366.036328756447</v>
      </c>
      <c r="G10" s="362">
        <f t="shared" si="12"/>
        <v>130.29455770223308</v>
      </c>
      <c r="H10" s="362"/>
      <c r="I10" s="362"/>
      <c r="J10" s="357">
        <f t="shared" si="13"/>
        <v>19.544183655334962</v>
      </c>
      <c r="K10" s="361">
        <f t="shared" si="2"/>
        <v>499272.97565615567</v>
      </c>
      <c r="L10" s="363"/>
      <c r="M10" s="360">
        <v>4</v>
      </c>
      <c r="N10" s="361">
        <f t="shared" si="3"/>
        <v>4166.666666666667</v>
      </c>
      <c r="O10" s="364">
        <f t="shared" si="4"/>
        <v>3681.3333333333335</v>
      </c>
      <c r="P10" s="365">
        <f t="shared" si="5"/>
        <v>8.3333333333333332E-3</v>
      </c>
      <c r="Q10" s="362">
        <f t="shared" si="14"/>
        <v>10.068792846456445</v>
      </c>
      <c r="R10" s="362">
        <f t="shared" si="7"/>
        <v>9.9854595131231108</v>
      </c>
      <c r="S10" s="364">
        <f t="shared" si="8"/>
        <v>485.33333333333348</v>
      </c>
      <c r="T10" s="361">
        <f t="shared" si="9"/>
        <v>499272.97565615556</v>
      </c>
    </row>
    <row r="11" spans="2:26">
      <c r="B11" s="360">
        <v>5</v>
      </c>
      <c r="C11" s="361">
        <f t="shared" si="0"/>
        <v>4166.666666666667</v>
      </c>
      <c r="D11" s="362">
        <f t="shared" si="10"/>
        <v>10.405116620589814</v>
      </c>
      <c r="E11" s="362">
        <f t="shared" si="11"/>
        <v>400.4440140941428</v>
      </c>
      <c r="F11" s="366">
        <f t="shared" si="1"/>
        <v>47965.592314662303</v>
      </c>
      <c r="G11" s="362">
        <f t="shared" si="12"/>
        <v>162.2265257252389</v>
      </c>
      <c r="H11" s="362"/>
      <c r="I11" s="362"/>
      <c r="J11" s="357">
        <f t="shared" si="13"/>
        <v>24.333978858785834</v>
      </c>
      <c r="K11" s="361">
        <f t="shared" si="2"/>
        <v>499087.58180972777</v>
      </c>
      <c r="L11" s="363"/>
      <c r="M11" s="360">
        <v>5</v>
      </c>
      <c r="N11" s="361">
        <f t="shared" si="3"/>
        <v>4166.666666666667</v>
      </c>
      <c r="O11" s="364">
        <f t="shared" si="4"/>
        <v>3681.3333333333335</v>
      </c>
      <c r="P11" s="365">
        <f t="shared" si="5"/>
        <v>8.3333333333333332E-3</v>
      </c>
      <c r="Q11" s="362">
        <f t="shared" si="14"/>
        <v>10.065084969527888</v>
      </c>
      <c r="R11" s="362">
        <f t="shared" si="7"/>
        <v>9.981751636194554</v>
      </c>
      <c r="S11" s="364">
        <f t="shared" si="8"/>
        <v>485.33333333333348</v>
      </c>
      <c r="T11" s="361">
        <f t="shared" si="9"/>
        <v>499087.58180972771</v>
      </c>
    </row>
    <row r="12" spans="2:26">
      <c r="B12" s="355">
        <v>6</v>
      </c>
      <c r="C12" s="361">
        <f t="shared" si="0"/>
        <v>4166.666666666667</v>
      </c>
      <c r="D12" s="362">
        <f t="shared" si="10"/>
        <v>10.488088481701517</v>
      </c>
      <c r="E12" s="362">
        <f t="shared" si="11"/>
        <v>397.2760788523301</v>
      </c>
      <c r="F12" s="366">
        <f t="shared" si="1"/>
        <v>47568.316235809973</v>
      </c>
      <c r="G12" s="362">
        <f t="shared" si="12"/>
        <v>193.90587814336601</v>
      </c>
      <c r="H12" s="362"/>
      <c r="I12" s="362"/>
      <c r="J12" s="357">
        <f t="shared" si="13"/>
        <v>29.085881721504901</v>
      </c>
      <c r="K12" s="361">
        <f t="shared" si="2"/>
        <v>498900.70960673387</v>
      </c>
      <c r="L12" s="363"/>
      <c r="M12" s="355">
        <v>6</v>
      </c>
      <c r="N12" s="361">
        <f t="shared" si="3"/>
        <v>4166.666666666667</v>
      </c>
      <c r="O12" s="364">
        <f t="shared" si="4"/>
        <v>3681.3333333333335</v>
      </c>
      <c r="P12" s="365">
        <f t="shared" si="5"/>
        <v>8.3333333333333332E-3</v>
      </c>
      <c r="Q12" s="362">
        <f t="shared" si="14"/>
        <v>10.06134752546801</v>
      </c>
      <c r="R12" s="362">
        <f t="shared" si="7"/>
        <v>9.9780141921346761</v>
      </c>
      <c r="S12" s="364">
        <f t="shared" si="8"/>
        <v>485.33333333333348</v>
      </c>
      <c r="T12" s="361">
        <f t="shared" si="9"/>
        <v>498900.70960673381</v>
      </c>
    </row>
    <row r="13" spans="2:26">
      <c r="B13" s="360">
        <v>7</v>
      </c>
      <c r="C13" s="361">
        <f t="shared" si="0"/>
        <v>4166.666666666667</v>
      </c>
      <c r="D13" s="362">
        <f t="shared" si="10"/>
        <v>10.571721972085372</v>
      </c>
      <c r="E13" s="362">
        <f t="shared" si="11"/>
        <v>394.13320532537165</v>
      </c>
      <c r="F13" s="366">
        <f t="shared" si="1"/>
        <v>47174.183030484601</v>
      </c>
      <c r="G13" s="362">
        <f t="shared" si="12"/>
        <v>225.33461341295046</v>
      </c>
      <c r="H13" s="362"/>
      <c r="I13" s="362"/>
      <c r="J13" s="357">
        <f t="shared" si="13"/>
        <v>33.800192011942571</v>
      </c>
      <c r="K13" s="361">
        <f t="shared" si="2"/>
        <v>498712.34725855099</v>
      </c>
      <c r="L13" s="363"/>
      <c r="M13" s="360">
        <v>7</v>
      </c>
      <c r="N13" s="361">
        <f t="shared" si="3"/>
        <v>4166.666666666667</v>
      </c>
      <c r="O13" s="364">
        <f t="shared" si="4"/>
        <v>3681.3333333333335</v>
      </c>
      <c r="P13" s="365">
        <f t="shared" si="5"/>
        <v>8.3333333333333332E-3</v>
      </c>
      <c r="Q13" s="362">
        <f t="shared" si="14"/>
        <v>10.057580278504354</v>
      </c>
      <c r="R13" s="362">
        <f t="shared" si="7"/>
        <v>9.9742469451710196</v>
      </c>
      <c r="S13" s="364">
        <f t="shared" si="8"/>
        <v>485.33333333333348</v>
      </c>
      <c r="T13" s="361">
        <f t="shared" si="9"/>
        <v>498712.34725855099</v>
      </c>
    </row>
    <row r="14" spans="2:26">
      <c r="B14" s="360">
        <v>8</v>
      </c>
      <c r="C14" s="361">
        <f t="shared" si="0"/>
        <v>4166.666666666667</v>
      </c>
      <c r="D14" s="362">
        <f t="shared" si="10"/>
        <v>10.656022367666109</v>
      </c>
      <c r="E14" s="362">
        <f t="shared" si="11"/>
        <v>391.01519524862385</v>
      </c>
      <c r="F14" s="366">
        <f t="shared" si="1"/>
        <v>46783.167835235974</v>
      </c>
      <c r="G14" s="362">
        <f t="shared" si="12"/>
        <v>256.5147141804282</v>
      </c>
      <c r="H14" s="362"/>
      <c r="I14" s="362"/>
      <c r="J14" s="357">
        <f t="shared" si="13"/>
        <v>38.477207127064226</v>
      </c>
      <c r="K14" s="361">
        <f t="shared" si="2"/>
        <v>498522.4828825522</v>
      </c>
      <c r="L14" s="363"/>
      <c r="M14" s="360">
        <v>8</v>
      </c>
      <c r="N14" s="361">
        <f t="shared" si="3"/>
        <v>4166.666666666667</v>
      </c>
      <c r="O14" s="364">
        <f t="shared" si="4"/>
        <v>3681.3333333333335</v>
      </c>
      <c r="P14" s="365">
        <f t="shared" si="5"/>
        <v>8.3333333333333332E-3</v>
      </c>
      <c r="Q14" s="362">
        <f t="shared" si="14"/>
        <v>10.053782990984377</v>
      </c>
      <c r="R14" s="362">
        <f t="shared" si="7"/>
        <v>9.9704496576510433</v>
      </c>
      <c r="S14" s="364">
        <f t="shared" si="8"/>
        <v>485.33333333333348</v>
      </c>
      <c r="T14" s="361">
        <f t="shared" si="9"/>
        <v>498522.48288255214</v>
      </c>
    </row>
    <row r="15" spans="2:26">
      <c r="B15" s="355">
        <v>9</v>
      </c>
      <c r="C15" s="361">
        <f t="shared" si="0"/>
        <v>4166.666666666667</v>
      </c>
      <c r="D15" s="362">
        <f t="shared" si="10"/>
        <v>10.740994986439418</v>
      </c>
      <c r="E15" s="362">
        <f t="shared" si="11"/>
        <v>387.92185192592615</v>
      </c>
      <c r="F15" s="366">
        <f t="shared" si="1"/>
        <v>46395.245983310051</v>
      </c>
      <c r="G15" s="362">
        <f t="shared" si="12"/>
        <v>287.44814740740549</v>
      </c>
      <c r="H15" s="362"/>
      <c r="I15" s="362"/>
      <c r="J15" s="357">
        <f t="shared" si="13"/>
        <v>43.11722211111082</v>
      </c>
      <c r="K15" s="361">
        <f t="shared" si="2"/>
        <v>498331.10450135678</v>
      </c>
      <c r="L15" s="363"/>
      <c r="M15" s="355">
        <v>9</v>
      </c>
      <c r="N15" s="361">
        <f t="shared" si="3"/>
        <v>4166.666666666667</v>
      </c>
      <c r="O15" s="364">
        <f t="shared" si="4"/>
        <v>3681.3333333333335</v>
      </c>
      <c r="P15" s="365">
        <f t="shared" si="5"/>
        <v>8.3333333333333332E-3</v>
      </c>
      <c r="Q15" s="362">
        <f t="shared" si="14"/>
        <v>10.049955423360467</v>
      </c>
      <c r="R15" s="362">
        <f t="shared" si="7"/>
        <v>9.9666220900271334</v>
      </c>
      <c r="S15" s="364">
        <f t="shared" si="8"/>
        <v>485.33333333333348</v>
      </c>
      <c r="T15" s="361">
        <f t="shared" si="9"/>
        <v>498331.10450135666</v>
      </c>
    </row>
    <row r="16" spans="2:26">
      <c r="B16" s="360">
        <v>10</v>
      </c>
      <c r="C16" s="361">
        <f t="shared" si="0"/>
        <v>4166.666666666667</v>
      </c>
      <c r="D16" s="362">
        <f t="shared" si="10"/>
        <v>10.826645188807436</v>
      </c>
      <c r="E16" s="362">
        <f t="shared" si="11"/>
        <v>384.85298021719217</v>
      </c>
      <c r="F16" s="366">
        <f t="shared" si="1"/>
        <v>46010.39300309286</v>
      </c>
      <c r="G16" s="362">
        <f t="shared" si="12"/>
        <v>318.1368644947454</v>
      </c>
      <c r="H16" s="362"/>
      <c r="I16" s="362"/>
      <c r="J16" s="357">
        <f t="shared" si="13"/>
        <v>47.720529674211811</v>
      </c>
      <c r="K16" s="361">
        <f t="shared" si="2"/>
        <v>498138.20004207466</v>
      </c>
      <c r="L16" s="363"/>
      <c r="M16" s="360">
        <v>10</v>
      </c>
      <c r="N16" s="361">
        <f t="shared" si="3"/>
        <v>4166.666666666667</v>
      </c>
      <c r="O16" s="364">
        <f t="shared" si="4"/>
        <v>3681.3333333333335</v>
      </c>
      <c r="P16" s="365">
        <f t="shared" si="5"/>
        <v>8.3333333333333332E-3</v>
      </c>
      <c r="Q16" s="362">
        <f t="shared" si="14"/>
        <v>10.046097334174824</v>
      </c>
      <c r="R16" s="362">
        <f t="shared" si="7"/>
        <v>9.9627640008414904</v>
      </c>
      <c r="S16" s="364">
        <f t="shared" si="8"/>
        <v>485.33333333333348</v>
      </c>
      <c r="T16" s="361">
        <f t="shared" si="9"/>
        <v>498138.20004207455</v>
      </c>
    </row>
    <row r="17" spans="2:20">
      <c r="B17" s="360">
        <v>11</v>
      </c>
      <c r="C17" s="361">
        <f t="shared" si="0"/>
        <v>4166.666666666667</v>
      </c>
      <c r="D17" s="362">
        <f t="shared" si="10"/>
        <v>10.912978377916902</v>
      </c>
      <c r="E17" s="362">
        <f t="shared" si="11"/>
        <v>381.80838652609987</v>
      </c>
      <c r="F17" s="366">
        <f t="shared" si="1"/>
        <v>45628.584616566761</v>
      </c>
      <c r="G17" s="362">
        <f t="shared" si="12"/>
        <v>348.58280140566825</v>
      </c>
      <c r="H17" s="362"/>
      <c r="I17" s="362"/>
      <c r="J17" s="357">
        <f t="shared" si="13"/>
        <v>52.287420210850236</v>
      </c>
      <c r="K17" s="361">
        <f t="shared" si="2"/>
        <v>497943.75733554485</v>
      </c>
      <c r="L17" s="363"/>
      <c r="M17" s="360">
        <v>11</v>
      </c>
      <c r="N17" s="361">
        <f t="shared" si="3"/>
        <v>4166.666666666667</v>
      </c>
      <c r="O17" s="364">
        <f t="shared" si="4"/>
        <v>3681.3333333333335</v>
      </c>
      <c r="P17" s="365">
        <f t="shared" si="5"/>
        <v>8.3333333333333332E-3</v>
      </c>
      <c r="Q17" s="362">
        <f t="shared" si="14"/>
        <v>10.042208480044227</v>
      </c>
      <c r="R17" s="362">
        <f t="shared" si="7"/>
        <v>9.9588751467108931</v>
      </c>
      <c r="S17" s="364">
        <f t="shared" si="8"/>
        <v>485.33333333333348</v>
      </c>
      <c r="T17" s="361">
        <f t="shared" si="9"/>
        <v>497943.75733554468</v>
      </c>
    </row>
    <row r="18" spans="2:20">
      <c r="B18" s="355">
        <v>12</v>
      </c>
      <c r="C18" s="361">
        <f t="shared" si="0"/>
        <v>4166.666666666667</v>
      </c>
      <c r="D18" s="362">
        <f t="shared" si="10"/>
        <v>11.000000000000002</v>
      </c>
      <c r="E18" s="362">
        <f t="shared" si="11"/>
        <v>378.78787878787875</v>
      </c>
      <c r="F18" s="367">
        <f t="shared" si="1"/>
        <v>45249.796737778881</v>
      </c>
      <c r="G18" s="368">
        <f t="shared" si="12"/>
        <v>378.78787878787944</v>
      </c>
      <c r="H18" s="368"/>
      <c r="I18" s="368"/>
      <c r="J18" s="357">
        <f t="shared" si="13"/>
        <v>56.818181818181912</v>
      </c>
      <c r="K18" s="369">
        <f t="shared" si="2"/>
        <v>497747.76411556778</v>
      </c>
      <c r="L18" s="363"/>
      <c r="M18" s="355">
        <v>12</v>
      </c>
      <c r="N18" s="361">
        <f t="shared" si="3"/>
        <v>4166.666666666667</v>
      </c>
      <c r="O18" s="364">
        <f t="shared" si="4"/>
        <v>3681.3333333333335</v>
      </c>
      <c r="P18" s="365">
        <f t="shared" si="5"/>
        <v>8.3333333333333332E-3</v>
      </c>
      <c r="Q18" s="362">
        <f>IF($L$4=1,R17*(1+(NOMINAL($F$1,12)/12)),0)</f>
        <v>10.038288615644685</v>
      </c>
      <c r="R18" s="362">
        <f t="shared" si="7"/>
        <v>9.9549552823113512</v>
      </c>
      <c r="S18" s="364">
        <f t="shared" si="8"/>
        <v>485.33333333333348</v>
      </c>
      <c r="T18" s="361">
        <f t="shared" si="9"/>
        <v>497747.76411556755</v>
      </c>
    </row>
    <row r="19" spans="2:20">
      <c r="B19" s="523" t="s">
        <v>312</v>
      </c>
      <c r="C19" s="524">
        <f>SUM(C7:C18)</f>
        <v>49999.999999999993</v>
      </c>
      <c r="D19" s="525"/>
      <c r="E19" s="528"/>
      <c r="F19" s="527"/>
      <c r="G19" s="528"/>
      <c r="H19" s="528"/>
      <c r="I19" s="528"/>
      <c r="J19" s="532">
        <f>SUM(J7:J18)</f>
        <v>374.69510666831991</v>
      </c>
      <c r="K19" s="533"/>
      <c r="L19" s="370"/>
      <c r="M19" s="523" t="s">
        <v>312</v>
      </c>
      <c r="N19" s="524">
        <f>SUM(N7:N18)</f>
        <v>49999.999999999993</v>
      </c>
      <c r="O19" s="525"/>
      <c r="P19" s="526">
        <f>SUM(P7:P18)</f>
        <v>9.9999999999999992E-2</v>
      </c>
      <c r="Q19" s="527"/>
      <c r="R19" s="528"/>
      <c r="S19" s="529">
        <f>SUM(S7:S18)</f>
        <v>5824.0000000000036</v>
      </c>
      <c r="T19" s="532"/>
    </row>
    <row r="20" spans="2:20">
      <c r="B20" s="523" t="s">
        <v>313</v>
      </c>
      <c r="C20" s="524">
        <f>C19-J19</f>
        <v>49625.304893331675</v>
      </c>
      <c r="D20" s="530"/>
      <c r="E20" s="530"/>
      <c r="F20" s="530"/>
      <c r="G20" s="530"/>
      <c r="H20" s="530"/>
      <c r="I20" s="530"/>
      <c r="J20" s="534">
        <f>IFERROR(J19/C19,0)</f>
        <v>7.4939021333663989E-3</v>
      </c>
      <c r="K20" s="535"/>
      <c r="L20" s="371"/>
      <c r="M20" s="523" t="s">
        <v>313</v>
      </c>
      <c r="N20" s="524">
        <f>N19-S19</f>
        <v>44175.999999999985</v>
      </c>
      <c r="O20" s="530"/>
      <c r="P20" s="530"/>
      <c r="Q20" s="530"/>
      <c r="R20" s="530"/>
      <c r="S20" s="531">
        <f>IFERROR(S19/N19, 0)</f>
        <v>0.11648000000000008</v>
      </c>
      <c r="T20" s="534"/>
    </row>
    <row r="21" spans="2:20">
      <c r="B21" s="355">
        <v>13</v>
      </c>
      <c r="C21" s="361">
        <f>IF(C18=0,                   0, IF((C18/D21)&gt;F18,                                                         IF(F18=0, 0, F18*D21),                                                                               $C$2*$F$2/12))</f>
        <v>4166.666666666667</v>
      </c>
      <c r="D21" s="362">
        <f>D18*(1+(NOMINAL($F$1,12)/12))</f>
        <v>11.087715544717943</v>
      </c>
      <c r="E21" s="362">
        <f>IF((C21/D21)&gt;F18,F18,(C21/D21))</f>
        <v>375.7912664571935</v>
      </c>
      <c r="F21" s="367">
        <f>F18-E21</f>
        <v>44874.005471321689</v>
      </c>
      <c r="G21" s="362">
        <f>IF($C$3="Debt Fund", E21*(D21-10),0)</f>
        <v>0</v>
      </c>
      <c r="H21" s="362">
        <f>IF($C$3="Balanced /Equity", E21*(D21-10),0)</f>
        <v>408.7540020947319</v>
      </c>
      <c r="I21" s="359"/>
      <c r="J21" s="357">
        <f>IF($C$3="Balanced /Equity",0,G21*$F$4)</f>
        <v>0</v>
      </c>
      <c r="K21" s="361">
        <f t="shared" ref="K21:K32" si="15">D21*F21</f>
        <v>497550.2080181315</v>
      </c>
      <c r="M21" s="355">
        <v>13</v>
      </c>
      <c r="N21" s="361">
        <f>IF($L$4 = 1, $C$2*$F$2/12, 0)</f>
        <v>4166.666666666667</v>
      </c>
      <c r="O21" s="364">
        <f>IF($L$4 =1, IF($C$3="Balanced /Equity",N21*(1-(E_DDT*(1+E_Surcharge)*(1+E_ServiceTax))),N21*(1-(D_DDT*(1+D_Surcharge)*(1+D_ServiceTax)))),0)</f>
        <v>3681.3333333333335</v>
      </c>
      <c r="P21" s="365">
        <f>IF($L$4 =1, N21/(10*$F$6), 0)</f>
        <v>8.3333333333333332E-3</v>
      </c>
      <c r="Q21" s="362">
        <f>IF($L$4 = 1, R18*(1+(NOMINAL($F$1,12)/12)), 0)</f>
        <v>10.03433749369596</v>
      </c>
      <c r="R21" s="362">
        <f>IF( $L$4 = 1, Q21-(P21*10), 0)</f>
        <v>9.9510041603626256</v>
      </c>
      <c r="S21" s="364">
        <f t="shared" ref="S21:S32" si="16">IF($L$4 = 1, N21-O21, 0)</f>
        <v>485.33333333333348</v>
      </c>
      <c r="T21" s="361">
        <f t="shared" ref="T21:T32" si="17">IF($L$4 = 1, $F$6*R21, 0)</f>
        <v>497550.20801813126</v>
      </c>
    </row>
    <row r="22" spans="2:20">
      <c r="B22" s="355">
        <v>14</v>
      </c>
      <c r="C22" s="361">
        <f t="shared" ref="C22:C32" si="18">IF(C21=0,                   0, IF((C21/D22)&gt;F21,                                                         IF(F21=0, 0, F21*D22),                                                                               $C$2*$F$2/12))</f>
        <v>4166.666666666667</v>
      </c>
      <c r="D22" s="362">
        <f t="shared" ref="D22:D32" si="19">D21*(1+(NOMINAL($F$1,12)/12))</f>
        <v>11.176130545507263</v>
      </c>
      <c r="E22" s="362">
        <f t="shared" ref="E22:E32" si="20">IF((C22/D22)&gt;F21,F21,(C22/D22))</f>
        <v>372.81836049612377</v>
      </c>
      <c r="F22" s="367">
        <f>F21-E22</f>
        <v>44501.187110825565</v>
      </c>
      <c r="G22" s="362">
        <f t="shared" ref="G22:G32" si="21">IF($C$3="Debt Fund", E22*(D22-10),0)</f>
        <v>0</v>
      </c>
      <c r="H22" s="362">
        <f t="shared" ref="H22:H32" si="22">IF($C$3="Balanced /Equity", E22*(D22-10),0)</f>
        <v>438.48306170542952</v>
      </c>
      <c r="I22" s="359"/>
      <c r="J22" s="357">
        <f t="shared" ref="J22:J32" si="23">IF($C$3="Balanced /Equity",0,G22*$F$4)</f>
        <v>0</v>
      </c>
      <c r="K22" s="361">
        <f t="shared" si="15"/>
        <v>497351.07658063172</v>
      </c>
      <c r="M22" s="355">
        <v>14</v>
      </c>
      <c r="N22" s="361">
        <f t="shared" ref="N22:N32" si="24">IF($L$4 =1, $C$2*$F$2/12, 0)</f>
        <v>4166.666666666667</v>
      </c>
      <c r="O22" s="364">
        <f t="shared" ref="O22:O32" si="25">IF($L$4 = 1, IF($C$3="Balanced /Equity",N22*(1-(E_DDT*(1+E_Surcharge)*(1+E_ServiceTax))),N22*(1-(D_DDT*(1+D_Surcharge)*(1+D_ServiceTax)))), 0)</f>
        <v>3681.3333333333335</v>
      </c>
      <c r="P22" s="365">
        <f t="shared" ref="P22:P32" si="26">IF($L$4 = 1, N22/(10*$F$6), 0)</f>
        <v>8.3333333333333332E-3</v>
      </c>
      <c r="Q22" s="362">
        <f t="shared" ref="Q22:Q32" si="27">IF($L$4 = 1, R21*(1+(NOMINAL($F$1,12)/12)), 0)</f>
        <v>10.030354864945963</v>
      </c>
      <c r="R22" s="362">
        <f t="shared" ref="R22:R32" si="28">IF($L$4 = 1, Q22-(P22*10), 0)</f>
        <v>9.9470215316126289</v>
      </c>
      <c r="S22" s="364">
        <f t="shared" si="16"/>
        <v>485.33333333333348</v>
      </c>
      <c r="T22" s="361">
        <f t="shared" si="17"/>
        <v>497351.07658063143</v>
      </c>
    </row>
    <row r="23" spans="2:20">
      <c r="B23" s="355">
        <v>15</v>
      </c>
      <c r="C23" s="361">
        <f t="shared" si="18"/>
        <v>4166.666666666667</v>
      </c>
      <c r="D23" s="362">
        <f t="shared" si="19"/>
        <v>11.2652505799289</v>
      </c>
      <c r="E23" s="362">
        <f t="shared" si="20"/>
        <v>369.86897336223876</v>
      </c>
      <c r="F23" s="367">
        <f t="shared" ref="F23:F32" si="29">F22-E23</f>
        <v>44131.318137463328</v>
      </c>
      <c r="G23" s="362">
        <f t="shared" si="21"/>
        <v>0</v>
      </c>
      <c r="H23" s="362">
        <f t="shared" si="22"/>
        <v>467.97693304427929</v>
      </c>
      <c r="I23" s="359"/>
      <c r="J23" s="357">
        <f t="shared" si="23"/>
        <v>0</v>
      </c>
      <c r="K23" s="361">
        <f t="shared" si="15"/>
        <v>497150.3572410855</v>
      </c>
      <c r="M23" s="355">
        <v>15</v>
      </c>
      <c r="N23" s="361">
        <f t="shared" si="24"/>
        <v>4166.666666666667</v>
      </c>
      <c r="O23" s="364">
        <f t="shared" si="25"/>
        <v>3681.3333333333335</v>
      </c>
      <c r="P23" s="365">
        <f t="shared" si="26"/>
        <v>8.3333333333333332E-3</v>
      </c>
      <c r="Q23" s="362">
        <f t="shared" si="27"/>
        <v>10.026340478155037</v>
      </c>
      <c r="R23" s="362">
        <f t="shared" si="28"/>
        <v>9.9430071448217028</v>
      </c>
      <c r="S23" s="364">
        <f t="shared" si="16"/>
        <v>485.33333333333348</v>
      </c>
      <c r="T23" s="361">
        <f t="shared" si="17"/>
        <v>497150.35724108515</v>
      </c>
    </row>
    <row r="24" spans="2:20">
      <c r="B24" s="355">
        <v>16</v>
      </c>
      <c r="C24" s="361">
        <f t="shared" si="18"/>
        <v>4166.666666666667</v>
      </c>
      <c r="D24" s="362">
        <f t="shared" si="19"/>
        <v>11.355081270020042</v>
      </c>
      <c r="E24" s="362">
        <f t="shared" si="20"/>
        <v>366.94291899676671</v>
      </c>
      <c r="F24" s="367">
        <f t="shared" si="29"/>
        <v>43764.375218466565</v>
      </c>
      <c r="G24" s="362">
        <f t="shared" si="21"/>
        <v>0</v>
      </c>
      <c r="H24" s="362">
        <f t="shared" si="22"/>
        <v>497.23747669900007</v>
      </c>
      <c r="I24" s="359"/>
      <c r="J24" s="357">
        <f t="shared" si="23"/>
        <v>0</v>
      </c>
      <c r="K24" s="361">
        <f t="shared" si="15"/>
        <v>496948.03733733896</v>
      </c>
      <c r="M24" s="355">
        <v>16</v>
      </c>
      <c r="N24" s="361">
        <f t="shared" si="24"/>
        <v>4166.666666666667</v>
      </c>
      <c r="O24" s="364">
        <f t="shared" si="25"/>
        <v>3681.3333333333335</v>
      </c>
      <c r="P24" s="365">
        <f t="shared" si="26"/>
        <v>8.3333333333333332E-3</v>
      </c>
      <c r="Q24" s="362">
        <f t="shared" si="27"/>
        <v>10.022294080080105</v>
      </c>
      <c r="R24" s="362">
        <f t="shared" si="28"/>
        <v>9.9389607467467709</v>
      </c>
      <c r="S24" s="364">
        <f t="shared" si="16"/>
        <v>485.33333333333348</v>
      </c>
      <c r="T24" s="361">
        <f t="shared" si="17"/>
        <v>496948.03733733855</v>
      </c>
    </row>
    <row r="25" spans="2:20">
      <c r="B25" s="355">
        <v>17</v>
      </c>
      <c r="C25" s="361">
        <f t="shared" si="18"/>
        <v>4166.666666666667</v>
      </c>
      <c r="D25" s="362">
        <f t="shared" si="19"/>
        <v>11.445628282648796</v>
      </c>
      <c r="E25" s="362">
        <f t="shared" si="20"/>
        <v>364.04001281285707</v>
      </c>
      <c r="F25" s="367">
        <f t="shared" si="29"/>
        <v>43400.335205653704</v>
      </c>
      <c r="G25" s="362">
        <f t="shared" si="21"/>
        <v>0</v>
      </c>
      <c r="H25" s="362">
        <f t="shared" si="22"/>
        <v>526.26653853809626</v>
      </c>
      <c r="I25" s="359"/>
      <c r="J25" s="357">
        <f t="shared" si="23"/>
        <v>0</v>
      </c>
      <c r="K25" s="361">
        <f t="shared" si="15"/>
        <v>496744.10410626826</v>
      </c>
      <c r="M25" s="355">
        <v>17</v>
      </c>
      <c r="N25" s="361">
        <f t="shared" si="24"/>
        <v>4166.666666666667</v>
      </c>
      <c r="O25" s="364">
        <f t="shared" si="25"/>
        <v>3681.3333333333335</v>
      </c>
      <c r="P25" s="365">
        <f t="shared" si="26"/>
        <v>8.3333333333333332E-3</v>
      </c>
      <c r="Q25" s="362">
        <f t="shared" si="27"/>
        <v>10.018215415458691</v>
      </c>
      <c r="R25" s="362">
        <f t="shared" si="28"/>
        <v>9.9348820821253572</v>
      </c>
      <c r="S25" s="364">
        <f t="shared" si="16"/>
        <v>485.33333333333348</v>
      </c>
      <c r="T25" s="361">
        <f t="shared" si="17"/>
        <v>496744.10410626786</v>
      </c>
    </row>
    <row r="26" spans="2:20">
      <c r="B26" s="355">
        <v>18</v>
      </c>
      <c r="C26" s="361">
        <f t="shared" si="18"/>
        <v>4166.666666666667</v>
      </c>
      <c r="D26" s="362">
        <f t="shared" si="19"/>
        <v>11.536897329871671</v>
      </c>
      <c r="E26" s="362">
        <f t="shared" si="20"/>
        <v>361.16007168393639</v>
      </c>
      <c r="F26" s="367">
        <f t="shared" si="29"/>
        <v>43039.175133969766</v>
      </c>
      <c r="G26" s="362">
        <f t="shared" si="21"/>
        <v>0</v>
      </c>
      <c r="H26" s="362">
        <f t="shared" si="22"/>
        <v>555.06594982730314</v>
      </c>
      <c r="I26" s="359"/>
      <c r="J26" s="357">
        <f t="shared" si="23"/>
        <v>0</v>
      </c>
      <c r="K26" s="361">
        <f t="shared" si="15"/>
        <v>496538.54468297499</v>
      </c>
      <c r="M26" s="355">
        <v>18</v>
      </c>
      <c r="N26" s="361">
        <f t="shared" si="24"/>
        <v>4166.666666666667</v>
      </c>
      <c r="O26" s="364">
        <f t="shared" si="25"/>
        <v>3681.3333333333335</v>
      </c>
      <c r="P26" s="365">
        <f t="shared" si="26"/>
        <v>8.3333333333333332E-3</v>
      </c>
      <c r="Q26" s="362">
        <f t="shared" si="27"/>
        <v>10.014104226992824</v>
      </c>
      <c r="R26" s="362">
        <f t="shared" si="28"/>
        <v>9.9307708936594903</v>
      </c>
      <c r="S26" s="364">
        <f t="shared" si="16"/>
        <v>485.33333333333348</v>
      </c>
      <c r="T26" s="361">
        <f t="shared" si="17"/>
        <v>496538.54468297452</v>
      </c>
    </row>
    <row r="27" spans="2:20">
      <c r="B27" s="355">
        <v>19</v>
      </c>
      <c r="C27" s="361">
        <f t="shared" si="18"/>
        <v>4166.666666666667</v>
      </c>
      <c r="D27" s="362">
        <f t="shared" si="19"/>
        <v>11.628894169293913</v>
      </c>
      <c r="E27" s="362">
        <f t="shared" si="20"/>
        <v>358.30291393215595</v>
      </c>
      <c r="F27" s="367">
        <f t="shared" si="29"/>
        <v>42680.872220037607</v>
      </c>
      <c r="G27" s="362">
        <f t="shared" si="21"/>
        <v>0</v>
      </c>
      <c r="H27" s="362">
        <f t="shared" si="22"/>
        <v>583.63752734510751</v>
      </c>
      <c r="I27" s="359"/>
      <c r="J27" s="357">
        <f t="shared" si="23"/>
        <v>0</v>
      </c>
      <c r="K27" s="361">
        <f t="shared" si="15"/>
        <v>496331.34609997389</v>
      </c>
      <c r="M27" s="355">
        <v>19</v>
      </c>
      <c r="N27" s="361">
        <f t="shared" si="24"/>
        <v>4166.666666666667</v>
      </c>
      <c r="O27" s="364">
        <f t="shared" si="25"/>
        <v>3681.3333333333335</v>
      </c>
      <c r="P27" s="365">
        <f t="shared" si="26"/>
        <v>8.3333333333333332E-3</v>
      </c>
      <c r="Q27" s="362">
        <f t="shared" si="27"/>
        <v>10.009960255332802</v>
      </c>
      <c r="R27" s="362">
        <f t="shared" si="28"/>
        <v>9.9266269219994676</v>
      </c>
      <c r="S27" s="364">
        <f t="shared" si="16"/>
        <v>485.33333333333348</v>
      </c>
      <c r="T27" s="361">
        <f t="shared" si="17"/>
        <v>496331.34609997337</v>
      </c>
    </row>
    <row r="28" spans="2:20">
      <c r="B28" s="355">
        <v>20</v>
      </c>
      <c r="C28" s="361">
        <f t="shared" si="18"/>
        <v>4166.666666666667</v>
      </c>
      <c r="D28" s="362">
        <f t="shared" si="19"/>
        <v>11.721624604432723</v>
      </c>
      <c r="E28" s="362">
        <f t="shared" si="20"/>
        <v>355.46835931693073</v>
      </c>
      <c r="F28" s="367">
        <f t="shared" si="29"/>
        <v>42325.403860720675</v>
      </c>
      <c r="G28" s="362">
        <f t="shared" si="21"/>
        <v>0</v>
      </c>
      <c r="H28" s="362">
        <f t="shared" si="22"/>
        <v>611.9830734973599</v>
      </c>
      <c r="I28" s="359"/>
      <c r="J28" s="357">
        <f t="shared" si="23"/>
        <v>0</v>
      </c>
      <c r="K28" s="361">
        <f t="shared" si="15"/>
        <v>496122.49528637523</v>
      </c>
      <c r="M28" s="355">
        <v>20</v>
      </c>
      <c r="N28" s="361">
        <f t="shared" si="24"/>
        <v>4166.666666666667</v>
      </c>
      <c r="O28" s="364">
        <f t="shared" si="25"/>
        <v>3681.3333333333335</v>
      </c>
      <c r="P28" s="365">
        <f t="shared" si="26"/>
        <v>8.3333333333333332E-3</v>
      </c>
      <c r="Q28" s="362">
        <f t="shared" si="27"/>
        <v>10.005783239060827</v>
      </c>
      <c r="R28" s="362">
        <f t="shared" si="28"/>
        <v>9.9224499057274933</v>
      </c>
      <c r="S28" s="364">
        <f t="shared" si="16"/>
        <v>485.33333333333348</v>
      </c>
      <c r="T28" s="361">
        <f t="shared" si="17"/>
        <v>496122.49528637464</v>
      </c>
    </row>
    <row r="29" spans="2:20">
      <c r="B29" s="355">
        <v>21</v>
      </c>
      <c r="C29" s="361">
        <f t="shared" si="18"/>
        <v>4166.666666666667</v>
      </c>
      <c r="D29" s="362">
        <f t="shared" si="19"/>
        <v>11.815094485083362</v>
      </c>
      <c r="E29" s="362">
        <f t="shared" si="20"/>
        <v>352.65622902356915</v>
      </c>
      <c r="F29" s="367">
        <f t="shared" si="29"/>
        <v>41972.747631697108</v>
      </c>
      <c r="G29" s="362">
        <f t="shared" si="21"/>
        <v>0</v>
      </c>
      <c r="H29" s="362">
        <f t="shared" si="22"/>
        <v>640.10437643097544</v>
      </c>
      <c r="I29" s="359"/>
      <c r="J29" s="357">
        <f t="shared" si="23"/>
        <v>0</v>
      </c>
      <c r="K29" s="361">
        <f t="shared" si="15"/>
        <v>495911.97906706022</v>
      </c>
      <c r="M29" s="355">
        <v>21</v>
      </c>
      <c r="N29" s="361">
        <f t="shared" si="24"/>
        <v>4166.666666666667</v>
      </c>
      <c r="O29" s="364">
        <f t="shared" si="25"/>
        <v>3681.3333333333335</v>
      </c>
      <c r="P29" s="365">
        <f t="shared" si="26"/>
        <v>8.3333333333333332E-3</v>
      </c>
      <c r="Q29" s="362">
        <f t="shared" si="27"/>
        <v>10.001572914674528</v>
      </c>
      <c r="R29" s="362">
        <f t="shared" si="28"/>
        <v>9.9182395813411937</v>
      </c>
      <c r="S29" s="364">
        <f t="shared" si="16"/>
        <v>485.33333333333348</v>
      </c>
      <c r="T29" s="361">
        <f t="shared" si="17"/>
        <v>495911.9790670597</v>
      </c>
    </row>
    <row r="30" spans="2:20">
      <c r="B30" s="355">
        <v>22</v>
      </c>
      <c r="C30" s="361">
        <f t="shared" si="18"/>
        <v>4166.666666666667</v>
      </c>
      <c r="D30" s="362">
        <f t="shared" si="19"/>
        <v>11.909309707688184</v>
      </c>
      <c r="E30" s="362">
        <f t="shared" si="20"/>
        <v>349.86634565199273</v>
      </c>
      <c r="F30" s="367">
        <f t="shared" si="29"/>
        <v>41622.881286045114</v>
      </c>
      <c r="G30" s="362">
        <f t="shared" si="21"/>
        <v>0</v>
      </c>
      <c r="H30" s="362">
        <f t="shared" si="22"/>
        <v>668.00321014673943</v>
      </c>
      <c r="I30" s="359"/>
      <c r="J30" s="357">
        <f t="shared" si="23"/>
        <v>0</v>
      </c>
      <c r="K30" s="361">
        <f t="shared" si="15"/>
        <v>495699.78416184994</v>
      </c>
      <c r="M30" s="355">
        <v>22</v>
      </c>
      <c r="N30" s="361">
        <f t="shared" si="24"/>
        <v>4166.666666666667</v>
      </c>
      <c r="O30" s="364">
        <f t="shared" si="25"/>
        <v>3681.3333333333335</v>
      </c>
      <c r="P30" s="365">
        <f t="shared" si="26"/>
        <v>8.3333333333333332E-3</v>
      </c>
      <c r="Q30" s="362">
        <f t="shared" si="27"/>
        <v>9.9973290165703208</v>
      </c>
      <c r="R30" s="362">
        <f t="shared" si="28"/>
        <v>9.9139956832369869</v>
      </c>
      <c r="S30" s="364">
        <f t="shared" si="16"/>
        <v>485.33333333333348</v>
      </c>
      <c r="T30" s="361">
        <f t="shared" si="17"/>
        <v>495699.78416184935</v>
      </c>
    </row>
    <row r="31" spans="2:20">
      <c r="B31" s="355">
        <v>23</v>
      </c>
      <c r="C31" s="361">
        <f t="shared" si="18"/>
        <v>4166.666666666667</v>
      </c>
      <c r="D31" s="362">
        <f t="shared" si="19"/>
        <v>12.004276215708597</v>
      </c>
      <c r="E31" s="362">
        <f t="shared" si="20"/>
        <v>347.09853320554521</v>
      </c>
      <c r="F31" s="367">
        <f t="shared" si="29"/>
        <v>41275.782752839572</v>
      </c>
      <c r="G31" s="362">
        <f t="shared" si="21"/>
        <v>0</v>
      </c>
      <c r="H31" s="362">
        <f t="shared" si="22"/>
        <v>695.68133461121488</v>
      </c>
      <c r="I31" s="359"/>
      <c r="J31" s="357">
        <f t="shared" si="23"/>
        <v>0</v>
      </c>
      <c r="K31" s="361">
        <f t="shared" si="15"/>
        <v>495485.89718466718</v>
      </c>
      <c r="M31" s="355">
        <v>23</v>
      </c>
      <c r="N31" s="361">
        <f t="shared" si="24"/>
        <v>4166.666666666667</v>
      </c>
      <c r="O31" s="364">
        <f t="shared" si="25"/>
        <v>3681.3333333333335</v>
      </c>
      <c r="P31" s="365">
        <f t="shared" si="26"/>
        <v>8.3333333333333332E-3</v>
      </c>
      <c r="Q31" s="362">
        <f t="shared" si="27"/>
        <v>9.9930512770266642</v>
      </c>
      <c r="R31" s="362">
        <f t="shared" si="28"/>
        <v>9.9097179436933303</v>
      </c>
      <c r="S31" s="364">
        <f t="shared" si="16"/>
        <v>485.33333333333348</v>
      </c>
      <c r="T31" s="361">
        <f t="shared" si="17"/>
        <v>495485.89718466654</v>
      </c>
    </row>
    <row r="32" spans="2:20">
      <c r="B32" s="355">
        <v>24</v>
      </c>
      <c r="C32" s="361">
        <f t="shared" si="18"/>
        <v>4166.666666666667</v>
      </c>
      <c r="D32" s="362">
        <f t="shared" si="19"/>
        <v>12.100000000000007</v>
      </c>
      <c r="E32" s="362">
        <f t="shared" si="20"/>
        <v>344.35261707988963</v>
      </c>
      <c r="F32" s="357">
        <f t="shared" si="29"/>
        <v>40931.430135759685</v>
      </c>
      <c r="G32" s="362">
        <f t="shared" si="21"/>
        <v>0</v>
      </c>
      <c r="H32" s="362">
        <f t="shared" si="22"/>
        <v>723.14049586777048</v>
      </c>
      <c r="I32" s="359"/>
      <c r="J32" s="357">
        <f t="shared" si="23"/>
        <v>0</v>
      </c>
      <c r="K32" s="361">
        <f t="shared" si="15"/>
        <v>495270.30464269244</v>
      </c>
      <c r="M32" s="355">
        <v>24</v>
      </c>
      <c r="N32" s="361">
        <f t="shared" si="24"/>
        <v>4166.666666666667</v>
      </c>
      <c r="O32" s="364">
        <f t="shared" si="25"/>
        <v>3681.3333333333335</v>
      </c>
      <c r="P32" s="365">
        <f t="shared" si="26"/>
        <v>8.3333333333333332E-3</v>
      </c>
      <c r="Q32" s="362">
        <f t="shared" si="27"/>
        <v>9.988739426187168</v>
      </c>
      <c r="R32" s="362">
        <f t="shared" si="28"/>
        <v>9.9054060928538341</v>
      </c>
      <c r="S32" s="364">
        <f t="shared" si="16"/>
        <v>485.33333333333348</v>
      </c>
      <c r="T32" s="361">
        <f t="shared" si="17"/>
        <v>495270.30464269168</v>
      </c>
    </row>
    <row r="33" spans="2:20">
      <c r="B33" s="523" t="s">
        <v>312</v>
      </c>
      <c r="C33" s="524">
        <f>SUM(C21:C32)</f>
        <v>49999.999999999993</v>
      </c>
      <c r="D33" s="525"/>
      <c r="E33" s="528"/>
      <c r="F33" s="527"/>
      <c r="G33" s="528"/>
      <c r="H33" s="528"/>
      <c r="I33" s="528"/>
      <c r="J33" s="532">
        <f>IF($C$3 = "Debt Fund",  SUM(J21:J32), IF( SUM(H21:H32) &gt;100000, (SUM(H21:H32) - 100000) * 10.4%,0))</f>
        <v>0</v>
      </c>
      <c r="K33" s="533"/>
      <c r="M33" s="523" t="s">
        <v>312</v>
      </c>
      <c r="N33" s="524">
        <f>SUM(N21:N32)</f>
        <v>49999.999999999993</v>
      </c>
      <c r="O33" s="525"/>
      <c r="P33" s="526">
        <f>SUM(P21:P32)</f>
        <v>9.9999999999999992E-2</v>
      </c>
      <c r="Q33" s="527"/>
      <c r="R33" s="528"/>
      <c r="S33" s="529">
        <f>SUM(S21:S32)</f>
        <v>5824.0000000000036</v>
      </c>
      <c r="T33" s="532"/>
    </row>
    <row r="34" spans="2:20">
      <c r="B34" s="523" t="s">
        <v>313</v>
      </c>
      <c r="C34" s="524">
        <f>C33-J33</f>
        <v>49999.999999999993</v>
      </c>
      <c r="D34" s="530"/>
      <c r="E34" s="530"/>
      <c r="F34" s="530"/>
      <c r="G34" s="530"/>
      <c r="H34" s="530"/>
      <c r="I34" s="530"/>
      <c r="J34" s="534">
        <f>IFERROR(J33/C33,0)</f>
        <v>0</v>
      </c>
      <c r="K34" s="535"/>
      <c r="M34" s="523" t="s">
        <v>313</v>
      </c>
      <c r="N34" s="524">
        <f>N33-S33</f>
        <v>44175.999999999985</v>
      </c>
      <c r="O34" s="530"/>
      <c r="P34" s="530"/>
      <c r="Q34" s="530"/>
      <c r="R34" s="530"/>
      <c r="S34" s="531">
        <f>IFERROR(S33/N33,0)</f>
        <v>0.11648000000000008</v>
      </c>
      <c r="T34" s="534"/>
    </row>
    <row r="35" spans="2:20">
      <c r="B35" s="355">
        <v>25</v>
      </c>
      <c r="C35" s="361">
        <f>IF(C32=0,                   0, IF((C32/D35)&gt;F32,                                                         IF(F32=0, 0, F32*D35),                                                                               $C$2*$F$2/12))</f>
        <v>4166.666666666667</v>
      </c>
      <c r="D35" s="362">
        <f>D32*(1+(NOMINAL($F$1,12)/12))</f>
        <v>12.196487099189742</v>
      </c>
      <c r="E35" s="362">
        <f>IF((C35/D35)&gt;F32,F32,(C35/D35))</f>
        <v>341.62842405199399</v>
      </c>
      <c r="F35" s="367">
        <f>F32-E35</f>
        <v>40589.801711707689</v>
      </c>
      <c r="G35" s="362">
        <f t="shared" ref="G35:G46" si="30">IF($C$3="Debt Fund", E35*(D35-10),0)</f>
        <v>0</v>
      </c>
      <c r="H35" s="362">
        <f t="shared" ref="H35:H46" si="31">IF($C$3="Balanced /Equity", E35*(D35-10),0)</f>
        <v>750.38242614672743</v>
      </c>
      <c r="I35" s="359"/>
      <c r="J35" s="357">
        <f>IF($C$3="Balanced /Equity",0,G35*$F$4)</f>
        <v>0</v>
      </c>
      <c r="K35" s="361">
        <f t="shared" ref="K35:K46" si="32">D35*F35</f>
        <v>495052.99293551256</v>
      </c>
      <c r="M35" s="355">
        <v>25</v>
      </c>
      <c r="N35" s="361">
        <f>IF($L$4 = 1, $C$2*$F$2/12, 0)</f>
        <v>4166.666666666667</v>
      </c>
      <c r="O35" s="364">
        <f>IF($L$4 =1, IF($C$3="Balanced /Equity",N35*(1-(E_DDT*(1+E_Surcharge)*(1+E_ServiceTax))),N35*(1-(D_DDT*(1+D_Surcharge)*(1+D_ServiceTax)))),0)</f>
        <v>3681.3333333333335</v>
      </c>
      <c r="P35" s="365">
        <f>IF($L$4 =1, N35/(10*$F$6), 0)</f>
        <v>8.3333333333333332E-3</v>
      </c>
      <c r="Q35" s="362">
        <f>IF($L$4 = 1, R32*(1+(NOMINAL($F$1,12)/12)), 0)</f>
        <v>9.9843931920435693</v>
      </c>
      <c r="R35" s="362">
        <f>IF( $L$4 = 1, Q35-(P35*10), 0)</f>
        <v>9.9010598587102354</v>
      </c>
      <c r="S35" s="364">
        <f t="shared" ref="S35:S46" si="33">IF($L$4 = 1, N35-O35, 0)</f>
        <v>485.33333333333348</v>
      </c>
      <c r="T35" s="361">
        <f t="shared" ref="T35:T46" si="34">IF($L$4 = 1, $F$6*R35, 0)</f>
        <v>495052.99293551175</v>
      </c>
    </row>
    <row r="36" spans="2:20">
      <c r="B36" s="355">
        <v>26</v>
      </c>
      <c r="C36" s="361">
        <f t="shared" ref="C36:C46" si="35">IF(C35=0,                   0, IF((C35/D36)&gt;F35,                                                         IF(F35=0, 0, F35*D36),                                                                               $C$2*$F$2/12))</f>
        <v>4166.666666666667</v>
      </c>
      <c r="D36" s="362">
        <f t="shared" ref="D36:D46" si="36">D35*(1+(NOMINAL($F$1,12)/12))</f>
        <v>12.293743600057994</v>
      </c>
      <c r="E36" s="362">
        <f t="shared" ref="E36:E46" si="37">IF((C36/D36)&gt;F35,F35,(C36/D36))</f>
        <v>338.9257822692033</v>
      </c>
      <c r="F36" s="367">
        <f>F35-E36</f>
        <v>40250.875929438487</v>
      </c>
      <c r="G36" s="362">
        <f t="shared" si="30"/>
        <v>0</v>
      </c>
      <c r="H36" s="362">
        <f t="shared" si="31"/>
        <v>777.40884397463401</v>
      </c>
      <c r="I36" s="359"/>
      <c r="J36" s="357">
        <f t="shared" ref="J36:J46" si="38">IF($C$3="Balanced /Equity",0,G36*$F$4)</f>
        <v>0</v>
      </c>
      <c r="K36" s="361">
        <f t="shared" si="32"/>
        <v>494833.94835426274</v>
      </c>
      <c r="M36" s="355">
        <v>26</v>
      </c>
      <c r="N36" s="361">
        <f t="shared" ref="N36:N46" si="39">IF($L$4 =1, $C$2*$F$2/12, 0)</f>
        <v>4166.666666666667</v>
      </c>
      <c r="O36" s="364">
        <f t="shared" ref="O36:O46" si="40">IF($L$4 = 1, IF($C$3="Balanced /Equity",N36*(1-(E_DDT*(1+E_Surcharge)*(1+E_ServiceTax))),N36*(1-(D_DDT*(1+D_Surcharge)*(1+D_ServiceTax)))), 0)</f>
        <v>3681.3333333333335</v>
      </c>
      <c r="P36" s="365">
        <f t="shared" ref="P36:P46" si="41">IF($L$4 = 1, N36/(10*$F$6), 0)</f>
        <v>8.3333333333333332E-3</v>
      </c>
      <c r="Q36" s="362">
        <f t="shared" ref="Q36:Q46" si="42">IF($L$4 = 1, R35*(1+(NOMINAL($F$1,12)/12)), 0)</f>
        <v>9.9800123004185721</v>
      </c>
      <c r="R36" s="362">
        <f t="shared" ref="R36:R46" si="43">IF($L$4 = 1, Q36-(P36*10), 0)</f>
        <v>9.8966789670852382</v>
      </c>
      <c r="S36" s="364">
        <f t="shared" si="33"/>
        <v>485.33333333333348</v>
      </c>
      <c r="T36" s="361">
        <f t="shared" si="34"/>
        <v>494833.94835426193</v>
      </c>
    </row>
    <row r="37" spans="2:20">
      <c r="B37" s="355">
        <v>27</v>
      </c>
      <c r="C37" s="361">
        <f t="shared" si="35"/>
        <v>4166.666666666667</v>
      </c>
      <c r="D37" s="362">
        <f t="shared" si="36"/>
        <v>12.391775637921793</v>
      </c>
      <c r="E37" s="362">
        <f t="shared" si="37"/>
        <v>336.24452123839882</v>
      </c>
      <c r="F37" s="367">
        <f t="shared" ref="F37:F46" si="44">F36-E37</f>
        <v>39914.63140820009</v>
      </c>
      <c r="G37" s="362">
        <f t="shared" si="30"/>
        <v>0</v>
      </c>
      <c r="H37" s="362">
        <f t="shared" si="31"/>
        <v>804.22145428267913</v>
      </c>
      <c r="I37" s="359"/>
      <c r="J37" s="357">
        <f t="shared" si="38"/>
        <v>0</v>
      </c>
      <c r="K37" s="361">
        <f t="shared" si="32"/>
        <v>494613.15708076191</v>
      </c>
      <c r="M37" s="355">
        <v>27</v>
      </c>
      <c r="N37" s="361">
        <f t="shared" si="39"/>
        <v>4166.666666666667</v>
      </c>
      <c r="O37" s="364">
        <f t="shared" si="40"/>
        <v>3681.3333333333335</v>
      </c>
      <c r="P37" s="365">
        <f t="shared" si="41"/>
        <v>8.3333333333333332E-3</v>
      </c>
      <c r="Q37" s="362">
        <f t="shared" si="42"/>
        <v>9.9755964749485546</v>
      </c>
      <c r="R37" s="362">
        <f t="shared" si="43"/>
        <v>9.8922631416152207</v>
      </c>
      <c r="S37" s="364">
        <f t="shared" si="33"/>
        <v>485.33333333333348</v>
      </c>
      <c r="T37" s="361">
        <f t="shared" si="34"/>
        <v>494613.15708076104</v>
      </c>
    </row>
    <row r="38" spans="2:20">
      <c r="B38" s="355">
        <v>28</v>
      </c>
      <c r="C38" s="361">
        <f t="shared" si="35"/>
        <v>4166.666666666667</v>
      </c>
      <c r="D38" s="362">
        <f t="shared" si="36"/>
        <v>12.490589397022049</v>
      </c>
      <c r="E38" s="362">
        <f t="shared" si="37"/>
        <v>333.58447181524235</v>
      </c>
      <c r="F38" s="367">
        <f t="shared" si="44"/>
        <v>39581.046936384846</v>
      </c>
      <c r="G38" s="362">
        <f t="shared" si="30"/>
        <v>0</v>
      </c>
      <c r="H38" s="362">
        <f t="shared" si="31"/>
        <v>830.8219485142431</v>
      </c>
      <c r="I38" s="359"/>
      <c r="J38" s="357">
        <f t="shared" si="38"/>
        <v>0</v>
      </c>
      <c r="K38" s="361">
        <f t="shared" si="32"/>
        <v>494390.60518664063</v>
      </c>
      <c r="M38" s="355">
        <v>28</v>
      </c>
      <c r="N38" s="361">
        <f t="shared" si="39"/>
        <v>4166.666666666667</v>
      </c>
      <c r="O38" s="364">
        <f t="shared" si="40"/>
        <v>3681.3333333333335</v>
      </c>
      <c r="P38" s="365">
        <f t="shared" si="41"/>
        <v>8.3333333333333332E-3</v>
      </c>
      <c r="Q38" s="362">
        <f t="shared" si="42"/>
        <v>9.971145437066129</v>
      </c>
      <c r="R38" s="362">
        <f t="shared" si="43"/>
        <v>9.8878121037327951</v>
      </c>
      <c r="S38" s="364">
        <f t="shared" si="33"/>
        <v>485.33333333333348</v>
      </c>
      <c r="T38" s="361">
        <f t="shared" si="34"/>
        <v>494390.60518663976</v>
      </c>
    </row>
    <row r="39" spans="2:20">
      <c r="B39" s="355">
        <v>29</v>
      </c>
      <c r="C39" s="361">
        <f t="shared" si="35"/>
        <v>4166.666666666667</v>
      </c>
      <c r="D39" s="362">
        <f t="shared" si="36"/>
        <v>12.590191110913679</v>
      </c>
      <c r="E39" s="362">
        <f t="shared" si="37"/>
        <v>330.94546619350632</v>
      </c>
      <c r="F39" s="367">
        <f t="shared" si="44"/>
        <v>39250.101470191337</v>
      </c>
      <c r="G39" s="362">
        <f t="shared" si="30"/>
        <v>0</v>
      </c>
      <c r="H39" s="362">
        <f t="shared" si="31"/>
        <v>857.21200473160354</v>
      </c>
      <c r="I39" s="359"/>
      <c r="J39" s="357">
        <f t="shared" si="38"/>
        <v>0</v>
      </c>
      <c r="K39" s="361">
        <f t="shared" si="32"/>
        <v>494166.2786324629</v>
      </c>
      <c r="M39" s="355">
        <v>29</v>
      </c>
      <c r="N39" s="361">
        <f t="shared" si="39"/>
        <v>4166.666666666667</v>
      </c>
      <c r="O39" s="364">
        <f t="shared" si="40"/>
        <v>3681.3333333333335</v>
      </c>
      <c r="P39" s="365">
        <f t="shared" si="41"/>
        <v>8.3333333333333332E-3</v>
      </c>
      <c r="Q39" s="362">
        <f t="shared" si="42"/>
        <v>9.966658905982575</v>
      </c>
      <c r="R39" s="362">
        <f t="shared" si="43"/>
        <v>9.8833255726492411</v>
      </c>
      <c r="S39" s="364">
        <f t="shared" si="33"/>
        <v>485.33333333333348</v>
      </c>
      <c r="T39" s="361">
        <f t="shared" si="34"/>
        <v>494166.27863246202</v>
      </c>
    </row>
    <row r="40" spans="2:20">
      <c r="B40" s="355">
        <v>30</v>
      </c>
      <c r="C40" s="361">
        <f t="shared" si="35"/>
        <v>4166.666666666667</v>
      </c>
      <c r="D40" s="362">
        <f t="shared" si="36"/>
        <v>12.690587062858841</v>
      </c>
      <c r="E40" s="362">
        <f t="shared" si="37"/>
        <v>328.32733789448758</v>
      </c>
      <c r="F40" s="367">
        <f t="shared" si="44"/>
        <v>38921.77413229685</v>
      </c>
      <c r="G40" s="362">
        <f t="shared" si="30"/>
        <v>0</v>
      </c>
      <c r="H40" s="362">
        <f t="shared" si="31"/>
        <v>883.39328772179147</v>
      </c>
      <c r="I40" s="359"/>
      <c r="J40" s="357">
        <f t="shared" si="38"/>
        <v>0</v>
      </c>
      <c r="K40" s="361">
        <f t="shared" si="32"/>
        <v>493940.16326684027</v>
      </c>
      <c r="M40" s="355">
        <v>30</v>
      </c>
      <c r="N40" s="361">
        <f t="shared" si="39"/>
        <v>4166.666666666667</v>
      </c>
      <c r="O40" s="364">
        <f t="shared" si="40"/>
        <v>3681.3333333333335</v>
      </c>
      <c r="P40" s="365">
        <f t="shared" si="41"/>
        <v>8.3333333333333332E-3</v>
      </c>
      <c r="Q40" s="362">
        <f t="shared" si="42"/>
        <v>9.9621365986701225</v>
      </c>
      <c r="R40" s="362">
        <f t="shared" si="43"/>
        <v>9.8788032653367885</v>
      </c>
      <c r="S40" s="364">
        <f t="shared" si="33"/>
        <v>485.33333333333348</v>
      </c>
      <c r="T40" s="361">
        <f t="shared" si="34"/>
        <v>493940.1632668394</v>
      </c>
    </row>
    <row r="41" spans="2:20">
      <c r="B41" s="355">
        <v>31</v>
      </c>
      <c r="C41" s="361">
        <f t="shared" si="35"/>
        <v>4166.666666666667</v>
      </c>
      <c r="D41" s="362">
        <f t="shared" si="36"/>
        <v>12.791783586223307</v>
      </c>
      <c r="E41" s="362">
        <f t="shared" si="37"/>
        <v>325.72992175650535</v>
      </c>
      <c r="F41" s="367">
        <f t="shared" si="44"/>
        <v>38596.044210540342</v>
      </c>
      <c r="G41" s="362">
        <f t="shared" si="30"/>
        <v>0</v>
      </c>
      <c r="H41" s="362">
        <f t="shared" si="31"/>
        <v>909.36744910161372</v>
      </c>
      <c r="I41" s="359"/>
      <c r="J41" s="357">
        <f t="shared" si="38"/>
        <v>0</v>
      </c>
      <c r="K41" s="361">
        <f t="shared" si="32"/>
        <v>493712.24482553906</v>
      </c>
      <c r="M41" s="355">
        <v>31</v>
      </c>
      <c r="N41" s="361">
        <f t="shared" si="39"/>
        <v>4166.666666666667</v>
      </c>
      <c r="O41" s="364">
        <f t="shared" si="40"/>
        <v>3681.3333333333335</v>
      </c>
      <c r="P41" s="365">
        <f t="shared" si="41"/>
        <v>8.3333333333333332E-3</v>
      </c>
      <c r="Q41" s="362">
        <f t="shared" si="42"/>
        <v>9.9575782298440974</v>
      </c>
      <c r="R41" s="362">
        <f t="shared" si="43"/>
        <v>9.8742448965107634</v>
      </c>
      <c r="S41" s="364">
        <f t="shared" si="33"/>
        <v>485.33333333333348</v>
      </c>
      <c r="T41" s="361">
        <f t="shared" si="34"/>
        <v>493712.24482553819</v>
      </c>
    </row>
    <row r="42" spans="2:20">
      <c r="B42" s="355">
        <v>32</v>
      </c>
      <c r="C42" s="361">
        <f t="shared" si="35"/>
        <v>4166.666666666667</v>
      </c>
      <c r="D42" s="362">
        <f t="shared" si="36"/>
        <v>12.893787064875998</v>
      </c>
      <c r="E42" s="362">
        <f t="shared" si="37"/>
        <v>323.15305392448238</v>
      </c>
      <c r="F42" s="367">
        <f t="shared" si="44"/>
        <v>38272.891156615857</v>
      </c>
      <c r="G42" s="362">
        <f t="shared" si="30"/>
        <v>0</v>
      </c>
      <c r="H42" s="362">
        <f t="shared" si="31"/>
        <v>935.13612742184284</v>
      </c>
      <c r="I42" s="359"/>
      <c r="J42" s="357">
        <f t="shared" si="38"/>
        <v>0</v>
      </c>
      <c r="K42" s="361">
        <f t="shared" si="32"/>
        <v>493482.50893058052</v>
      </c>
      <c r="M42" s="355">
        <v>32</v>
      </c>
      <c r="N42" s="361">
        <f t="shared" si="39"/>
        <v>4166.666666666667</v>
      </c>
      <c r="O42" s="364">
        <f t="shared" si="40"/>
        <v>3681.3333333333335</v>
      </c>
      <c r="P42" s="365">
        <f t="shared" si="41"/>
        <v>8.3333333333333332E-3</v>
      </c>
      <c r="Q42" s="362">
        <f t="shared" si="42"/>
        <v>9.952983511944927</v>
      </c>
      <c r="R42" s="362">
        <f t="shared" si="43"/>
        <v>9.8696501786115931</v>
      </c>
      <c r="S42" s="364">
        <f t="shared" si="33"/>
        <v>485.33333333333348</v>
      </c>
      <c r="T42" s="361">
        <f t="shared" si="34"/>
        <v>493482.50893057964</v>
      </c>
    </row>
    <row r="43" spans="2:20">
      <c r="B43" s="355">
        <v>33</v>
      </c>
      <c r="C43" s="361">
        <f t="shared" si="35"/>
        <v>4166.666666666667</v>
      </c>
      <c r="D43" s="362">
        <f t="shared" si="36"/>
        <v>12.996603933591702</v>
      </c>
      <c r="E43" s="362">
        <f t="shared" si="37"/>
        <v>320.5965718396082</v>
      </c>
      <c r="F43" s="367">
        <f t="shared" si="44"/>
        <v>37952.294584776246</v>
      </c>
      <c r="G43" s="362">
        <f t="shared" si="30"/>
        <v>0</v>
      </c>
      <c r="H43" s="362">
        <f t="shared" si="31"/>
        <v>960.7009482705846</v>
      </c>
      <c r="I43" s="359"/>
      <c r="J43" s="357">
        <f t="shared" si="38"/>
        <v>0</v>
      </c>
      <c r="K43" s="361">
        <f t="shared" si="32"/>
        <v>493250.94108933402</v>
      </c>
      <c r="M43" s="355">
        <v>33</v>
      </c>
      <c r="N43" s="361">
        <f t="shared" si="39"/>
        <v>4166.666666666667</v>
      </c>
      <c r="O43" s="364">
        <f t="shared" si="40"/>
        <v>3681.3333333333335</v>
      </c>
      <c r="P43" s="365">
        <f t="shared" si="41"/>
        <v>8.3333333333333332E-3</v>
      </c>
      <c r="Q43" s="362">
        <f t="shared" si="42"/>
        <v>9.9483521551199967</v>
      </c>
      <c r="R43" s="362">
        <f t="shared" si="43"/>
        <v>9.8650188217866628</v>
      </c>
      <c r="S43" s="364">
        <f t="shared" si="33"/>
        <v>485.33333333333348</v>
      </c>
      <c r="T43" s="361">
        <f t="shared" si="34"/>
        <v>493250.94108933315</v>
      </c>
    </row>
    <row r="44" spans="2:20">
      <c r="B44" s="355">
        <v>34</v>
      </c>
      <c r="C44" s="361">
        <f t="shared" si="35"/>
        <v>4166.666666666667</v>
      </c>
      <c r="D44" s="362">
        <f t="shared" si="36"/>
        <v>13.100240678457006</v>
      </c>
      <c r="E44" s="362">
        <f t="shared" si="37"/>
        <v>318.06031422908427</v>
      </c>
      <c r="F44" s="367">
        <f t="shared" si="44"/>
        <v>37634.23427054716</v>
      </c>
      <c r="G44" s="362">
        <f t="shared" si="30"/>
        <v>0</v>
      </c>
      <c r="H44" s="362">
        <f t="shared" si="31"/>
        <v>986.06352437582461</v>
      </c>
      <c r="I44" s="359"/>
      <c r="J44" s="357">
        <f t="shared" si="38"/>
        <v>0</v>
      </c>
      <c r="K44" s="361">
        <f t="shared" si="32"/>
        <v>493017.52669360262</v>
      </c>
      <c r="M44" s="355">
        <v>34</v>
      </c>
      <c r="N44" s="361">
        <f t="shared" si="39"/>
        <v>4166.666666666667</v>
      </c>
      <c r="O44" s="364">
        <f t="shared" si="40"/>
        <v>3681.3333333333335</v>
      </c>
      <c r="P44" s="365">
        <f t="shared" si="41"/>
        <v>8.3333333333333332E-3</v>
      </c>
      <c r="Q44" s="362">
        <f t="shared" si="42"/>
        <v>9.9436838672053689</v>
      </c>
      <c r="R44" s="362">
        <f t="shared" si="43"/>
        <v>9.860350533872035</v>
      </c>
      <c r="S44" s="364">
        <f t="shared" si="33"/>
        <v>485.33333333333348</v>
      </c>
      <c r="T44" s="361">
        <f t="shared" si="34"/>
        <v>493017.52669360174</v>
      </c>
    </row>
    <row r="45" spans="2:20">
      <c r="B45" s="355">
        <v>35</v>
      </c>
      <c r="C45" s="361">
        <f t="shared" si="35"/>
        <v>4166.666666666667</v>
      </c>
      <c r="D45" s="362">
        <f t="shared" si="36"/>
        <v>13.204703837279459</v>
      </c>
      <c r="E45" s="362">
        <f t="shared" si="37"/>
        <v>315.54412109595012</v>
      </c>
      <c r="F45" s="367">
        <f t="shared" si="44"/>
        <v>37318.690149451213</v>
      </c>
      <c r="G45" s="362">
        <f t="shared" si="30"/>
        <v>0</v>
      </c>
      <c r="H45" s="362">
        <f t="shared" si="31"/>
        <v>1011.2254557071655</v>
      </c>
      <c r="I45" s="359"/>
      <c r="J45" s="357">
        <f t="shared" si="38"/>
        <v>0</v>
      </c>
      <c r="K45" s="361">
        <f t="shared" si="32"/>
        <v>492782.25101870159</v>
      </c>
      <c r="M45" s="355">
        <v>35</v>
      </c>
      <c r="N45" s="361">
        <f t="shared" si="39"/>
        <v>4166.666666666667</v>
      </c>
      <c r="O45" s="364">
        <f t="shared" si="40"/>
        <v>3681.3333333333335</v>
      </c>
      <c r="P45" s="365">
        <f t="shared" si="41"/>
        <v>8.3333333333333332E-3</v>
      </c>
      <c r="Q45" s="362">
        <f t="shared" si="42"/>
        <v>9.9389783537073466</v>
      </c>
      <c r="R45" s="362">
        <f t="shared" si="43"/>
        <v>9.8556450203740127</v>
      </c>
      <c r="S45" s="364">
        <f t="shared" si="33"/>
        <v>485.33333333333348</v>
      </c>
      <c r="T45" s="361">
        <f t="shared" si="34"/>
        <v>492782.25101870066</v>
      </c>
    </row>
    <row r="46" spans="2:20">
      <c r="B46" s="355">
        <v>36</v>
      </c>
      <c r="C46" s="361">
        <f t="shared" si="35"/>
        <v>4166.666666666667</v>
      </c>
      <c r="D46" s="362">
        <f t="shared" si="36"/>
        <v>13.310000000000009</v>
      </c>
      <c r="E46" s="362">
        <f t="shared" si="37"/>
        <v>313.04783370899054</v>
      </c>
      <c r="F46" s="357">
        <f t="shared" si="44"/>
        <v>37005.642315742225</v>
      </c>
      <c r="G46" s="362">
        <f t="shared" si="30"/>
        <v>0</v>
      </c>
      <c r="H46" s="362">
        <f t="shared" si="31"/>
        <v>1036.1883295767616</v>
      </c>
      <c r="I46" s="359"/>
      <c r="J46" s="357">
        <f t="shared" si="38"/>
        <v>0</v>
      </c>
      <c r="K46" s="361">
        <f t="shared" si="32"/>
        <v>492545.09922252939</v>
      </c>
      <c r="M46" s="355">
        <v>36</v>
      </c>
      <c r="N46" s="361">
        <f t="shared" si="39"/>
        <v>4166.666666666667</v>
      </c>
      <c r="O46" s="364">
        <f t="shared" si="40"/>
        <v>3681.3333333333335</v>
      </c>
      <c r="P46" s="365">
        <f t="shared" si="41"/>
        <v>8.3333333333333332E-3</v>
      </c>
      <c r="Q46" s="362">
        <f t="shared" si="42"/>
        <v>9.9342353177839016</v>
      </c>
      <c r="R46" s="362">
        <f t="shared" si="43"/>
        <v>9.8509019844505676</v>
      </c>
      <c r="S46" s="364">
        <f t="shared" si="33"/>
        <v>485.33333333333348</v>
      </c>
      <c r="T46" s="361">
        <f t="shared" si="34"/>
        <v>492545.0992225284</v>
      </c>
    </row>
    <row r="47" spans="2:20">
      <c r="B47" s="523" t="s">
        <v>312</v>
      </c>
      <c r="C47" s="524">
        <f>SUM(C35:C46)</f>
        <v>49999.999999999993</v>
      </c>
      <c r="D47" s="525"/>
      <c r="E47" s="528"/>
      <c r="F47" s="527"/>
      <c r="G47" s="528"/>
      <c r="H47" s="528"/>
      <c r="I47" s="528"/>
      <c r="J47" s="532">
        <f>IF($C$3 = "Debt Fund",  SUM(J35:J46), IF( SUM(H35:H46) &gt;100000, (SUM(H35:H46) - 100000) * 10.4%,0))</f>
        <v>0</v>
      </c>
      <c r="K47" s="533"/>
      <c r="M47" s="523" t="s">
        <v>312</v>
      </c>
      <c r="N47" s="524">
        <f t="shared" ref="N47" si="45">SUM(N35:N46)</f>
        <v>49999.999999999993</v>
      </c>
      <c r="O47" s="525"/>
      <c r="P47" s="526">
        <f t="shared" ref="P47" si="46">SUM(P35:P46)</f>
        <v>9.9999999999999992E-2</v>
      </c>
      <c r="Q47" s="527"/>
      <c r="R47" s="528"/>
      <c r="S47" s="529">
        <f t="shared" ref="S47" si="47">SUM(S35:S46)</f>
        <v>5824.0000000000036</v>
      </c>
      <c r="T47" s="532"/>
    </row>
    <row r="48" spans="2:20">
      <c r="B48" s="523" t="s">
        <v>313</v>
      </c>
      <c r="C48" s="524">
        <f>C47-J47</f>
        <v>49999.999999999993</v>
      </c>
      <c r="D48" s="530"/>
      <c r="E48" s="530"/>
      <c r="F48" s="530"/>
      <c r="G48" s="530"/>
      <c r="H48" s="530"/>
      <c r="I48" s="530"/>
      <c r="J48" s="534">
        <f>IFERROR(J47/C47,0)</f>
        <v>0</v>
      </c>
      <c r="K48" s="535"/>
      <c r="M48" s="523" t="s">
        <v>313</v>
      </c>
      <c r="N48" s="524">
        <f t="shared" ref="N48" si="48">N47-S47</f>
        <v>44175.999999999985</v>
      </c>
      <c r="O48" s="530"/>
      <c r="P48" s="530"/>
      <c r="Q48" s="530"/>
      <c r="R48" s="530"/>
      <c r="S48" s="531">
        <f>IFERROR(S47/N47, 0)</f>
        <v>0.11648000000000008</v>
      </c>
      <c r="T48" s="534"/>
    </row>
    <row r="49" spans="2:20">
      <c r="B49" s="355">
        <v>37</v>
      </c>
      <c r="C49" s="361">
        <f>IF(C46=0,                   0, IF((C46/D49)&gt;F46,                                                         IF(F46=0, 0, F46*D49),                                                                               $C$2*$F$2/12))</f>
        <v>4166.666666666667</v>
      </c>
      <c r="D49" s="362">
        <f>D46*(1+(NOMINAL($F$1,12)/12))</f>
        <v>13.416135809108718</v>
      </c>
      <c r="E49" s="362">
        <f>IF((C49/D49)&gt;F46,F46,(C49/D49))</f>
        <v>310.57129459272176</v>
      </c>
      <c r="F49" s="367">
        <f>F46-E49</f>
        <v>36695.071021149502</v>
      </c>
      <c r="G49" s="362"/>
      <c r="H49" s="364">
        <f>E49*(D49-10)</f>
        <v>1060.9537207394496</v>
      </c>
      <c r="I49" s="364">
        <f>IF($C$3="Balanced /Equity",0,E49*(D49-FV($F$3,3,,-10)))</f>
        <v>0</v>
      </c>
      <c r="J49" s="357">
        <f>IF($C$3="Balanced /Equity",0,I49*$F$4)</f>
        <v>0</v>
      </c>
      <c r="K49" s="361">
        <f t="shared" ref="K49:K60" si="49">D49*F49</f>
        <v>492306.05634463148</v>
      </c>
      <c r="M49" s="355">
        <v>37</v>
      </c>
      <c r="N49" s="361">
        <f>IF($L$4 = 1, $C$2*$F$2/12, 0)</f>
        <v>4166.666666666667</v>
      </c>
      <c r="O49" s="364">
        <f>IF($L$4 =1, IF($C$3="Balanced /Equity",N49*(1-(E_DDT*(1+E_Surcharge)*(1+E_ServiceTax))),N49*(1-(D_DDT*(1+D_Surcharge)*(1+D_ServiceTax)))),0)</f>
        <v>3681.3333333333335</v>
      </c>
      <c r="P49" s="365">
        <f>IF($L$4 =1, N49/(10*$F$6), 0)</f>
        <v>8.3333333333333332E-3</v>
      </c>
      <c r="Q49" s="362">
        <f>IF($L$4 = 1, R46*(1+(NOMINAL($F$1,12)/12)), 0)</f>
        <v>9.9294544602259425</v>
      </c>
      <c r="R49" s="362">
        <f>IF( $L$4 = 1, Q49-(P49*10), 0)</f>
        <v>9.8461211268926085</v>
      </c>
      <c r="S49" s="364">
        <f t="shared" ref="S49:S60" si="50">IF($L$4 = 1, N49-O49, 0)</f>
        <v>485.33333333333348</v>
      </c>
      <c r="T49" s="361">
        <f t="shared" ref="T49:T60" si="51">IF($L$4 = 1, $F$6*R49, 0)</f>
        <v>492306.05634463043</v>
      </c>
    </row>
    <row r="50" spans="2:20">
      <c r="B50" s="355">
        <v>38</v>
      </c>
      <c r="C50" s="361">
        <f t="shared" ref="C50:C60" si="52">IF(C49=0,                   0, IF((C49/D50)&gt;F49,                                                         IF(F49=0, 0, F49*D50),                                                                               $C$2*$F$2/12))</f>
        <v>4166.666666666667</v>
      </c>
      <c r="D50" s="362">
        <f t="shared" ref="D50:D60" si="53">D49*(1+(NOMINAL($F$1,12)/12))</f>
        <v>13.523117960063797</v>
      </c>
      <c r="E50" s="362">
        <f t="shared" ref="E50:E60" si="54">IF((C50/D50)&gt;F49,F49,(C50/D50))</f>
        <v>308.11434751745747</v>
      </c>
      <c r="F50" s="367">
        <f>F49-E50</f>
        <v>36386.956673632048</v>
      </c>
      <c r="G50" s="362"/>
      <c r="H50" s="364">
        <f t="shared" ref="H50:H60" si="55">E50*(D50-10)</f>
        <v>1085.5231914920926</v>
      </c>
      <c r="I50" s="364">
        <f t="shared" ref="I50:I60" si="56">IF($C$3="Balanced /Equity",0,E50*(D50-FV($F$3,3,,-10)))</f>
        <v>0</v>
      </c>
      <c r="J50" s="357">
        <f t="shared" ref="J50:J60" si="57">IF($C$3="Balanced /Equity",0,I50*$F$4)</f>
        <v>0</v>
      </c>
      <c r="K50" s="361">
        <f t="shared" si="49"/>
        <v>492065.10730525677</v>
      </c>
      <c r="M50" s="355">
        <v>38</v>
      </c>
      <c r="N50" s="361">
        <f t="shared" ref="N50:N60" si="58">IF($L$4 =1, $C$2*$F$2/12, 0)</f>
        <v>4166.666666666667</v>
      </c>
      <c r="O50" s="364">
        <f t="shared" ref="O50:O60" si="59">IF($L$4 = 1, IF($C$3="Balanced /Equity",N50*(1-(E_DDT*(1+E_Surcharge)*(1+E_ServiceTax))),N50*(1-(D_DDT*(1+D_Surcharge)*(1+D_ServiceTax)))), 0)</f>
        <v>3681.3333333333335</v>
      </c>
      <c r="P50" s="365">
        <f t="shared" ref="P50:P60" si="60">IF($L$4 = 1, N50/(10*$F$6), 0)</f>
        <v>8.3333333333333332E-3</v>
      </c>
      <c r="Q50" s="362">
        <f t="shared" ref="Q50:Q60" si="61">IF($L$4 = 1, R49*(1+(NOMINAL($F$1,12)/12)), 0)</f>
        <v>9.9246354794384466</v>
      </c>
      <c r="R50" s="362">
        <f t="shared" ref="R50:R60" si="62">IF($L$4 = 1, Q50-(P50*10), 0)</f>
        <v>9.8413021461051127</v>
      </c>
      <c r="S50" s="364">
        <f t="shared" si="50"/>
        <v>485.33333333333348</v>
      </c>
      <c r="T50" s="361">
        <f t="shared" si="51"/>
        <v>492065.10730525566</v>
      </c>
    </row>
    <row r="51" spans="2:20">
      <c r="B51" s="355">
        <v>39</v>
      </c>
      <c r="C51" s="361">
        <f t="shared" si="52"/>
        <v>4166.666666666667</v>
      </c>
      <c r="D51" s="362">
        <f t="shared" si="53"/>
        <v>13.630953201713975</v>
      </c>
      <c r="E51" s="362">
        <f t="shared" si="54"/>
        <v>305.67683748945336</v>
      </c>
      <c r="F51" s="367">
        <f t="shared" ref="F51:F60" si="63">F50-E51</f>
        <v>36081.279836142596</v>
      </c>
      <c r="G51" s="362"/>
      <c r="H51" s="364">
        <f t="shared" si="55"/>
        <v>1109.8982917721332</v>
      </c>
      <c r="I51" s="364">
        <f t="shared" si="56"/>
        <v>0</v>
      </c>
      <c r="J51" s="357">
        <f t="shared" si="57"/>
        <v>0</v>
      </c>
      <c r="K51" s="361">
        <f t="shared" si="49"/>
        <v>491822.23690440581</v>
      </c>
      <c r="M51" s="355">
        <v>39</v>
      </c>
      <c r="N51" s="361">
        <f t="shared" si="58"/>
        <v>4166.666666666667</v>
      </c>
      <c r="O51" s="364">
        <f t="shared" si="59"/>
        <v>3681.3333333333335</v>
      </c>
      <c r="P51" s="365">
        <f t="shared" si="60"/>
        <v>8.3333333333333332E-3</v>
      </c>
      <c r="Q51" s="362">
        <f t="shared" si="61"/>
        <v>9.9197780714214261</v>
      </c>
      <c r="R51" s="362">
        <f t="shared" si="62"/>
        <v>9.8364447380880922</v>
      </c>
      <c r="S51" s="364">
        <f t="shared" si="50"/>
        <v>485.33333333333348</v>
      </c>
      <c r="T51" s="361">
        <f t="shared" si="51"/>
        <v>491822.23690440459</v>
      </c>
    </row>
    <row r="52" spans="2:20">
      <c r="B52" s="355">
        <v>40</v>
      </c>
      <c r="C52" s="361">
        <f t="shared" si="52"/>
        <v>4166.666666666667</v>
      </c>
      <c r="D52" s="362">
        <f t="shared" si="53"/>
        <v>13.739648336724258</v>
      </c>
      <c r="E52" s="362">
        <f t="shared" si="54"/>
        <v>303.25861074112936</v>
      </c>
      <c r="F52" s="367">
        <f t="shared" si="63"/>
        <v>35778.02122540147</v>
      </c>
      <c r="G52" s="362"/>
      <c r="H52" s="364">
        <f t="shared" si="55"/>
        <v>1134.0805592553736</v>
      </c>
      <c r="I52" s="364">
        <f t="shared" si="56"/>
        <v>0</v>
      </c>
      <c r="J52" s="357">
        <f t="shared" si="57"/>
        <v>0</v>
      </c>
      <c r="K52" s="361">
        <f t="shared" si="49"/>
        <v>491577.42982087249</v>
      </c>
      <c r="M52" s="355">
        <v>40</v>
      </c>
      <c r="N52" s="361">
        <f t="shared" si="58"/>
        <v>4166.666666666667</v>
      </c>
      <c r="O52" s="364">
        <f t="shared" si="59"/>
        <v>3681.3333333333335</v>
      </c>
      <c r="P52" s="365">
        <f t="shared" si="60"/>
        <v>8.3333333333333332E-3</v>
      </c>
      <c r="Q52" s="362">
        <f t="shared" si="61"/>
        <v>9.9148819297507575</v>
      </c>
      <c r="R52" s="362">
        <f t="shared" si="62"/>
        <v>9.8315485964174236</v>
      </c>
      <c r="S52" s="364">
        <f t="shared" si="50"/>
        <v>485.33333333333348</v>
      </c>
      <c r="T52" s="361">
        <f t="shared" si="51"/>
        <v>491577.42982087116</v>
      </c>
    </row>
    <row r="53" spans="2:20">
      <c r="B53" s="355">
        <v>41</v>
      </c>
      <c r="C53" s="361">
        <f t="shared" si="52"/>
        <v>4166.666666666667</v>
      </c>
      <c r="D53" s="362">
        <f t="shared" si="53"/>
        <v>13.849210222005052</v>
      </c>
      <c r="E53" s="362">
        <f t="shared" si="54"/>
        <v>300.85951472136929</v>
      </c>
      <c r="F53" s="367">
        <f t="shared" si="63"/>
        <v>35477.161710680099</v>
      </c>
      <c r="G53" s="362"/>
      <c r="H53" s="364">
        <f t="shared" si="55"/>
        <v>1158.0715194529741</v>
      </c>
      <c r="I53" s="364">
        <f t="shared" si="56"/>
        <v>0</v>
      </c>
      <c r="J53" s="357">
        <f t="shared" si="57"/>
        <v>0</v>
      </c>
      <c r="K53" s="361">
        <f t="shared" si="49"/>
        <v>491330.67061127705</v>
      </c>
      <c r="M53" s="355">
        <v>41</v>
      </c>
      <c r="N53" s="361">
        <f t="shared" si="58"/>
        <v>4166.666666666667</v>
      </c>
      <c r="O53" s="364">
        <f t="shared" si="59"/>
        <v>3681.3333333333335</v>
      </c>
      <c r="P53" s="365">
        <f t="shared" si="60"/>
        <v>8.3333333333333332E-3</v>
      </c>
      <c r="Q53" s="362">
        <f t="shared" si="61"/>
        <v>9.9099467455588481</v>
      </c>
      <c r="R53" s="362">
        <f t="shared" si="62"/>
        <v>9.8266134122255142</v>
      </c>
      <c r="S53" s="364">
        <f t="shared" si="50"/>
        <v>485.33333333333348</v>
      </c>
      <c r="T53" s="361">
        <f t="shared" si="51"/>
        <v>491330.67061127571</v>
      </c>
    </row>
    <row r="54" spans="2:20">
      <c r="B54" s="355">
        <v>42</v>
      </c>
      <c r="C54" s="361">
        <f t="shared" si="52"/>
        <v>4166.666666666667</v>
      </c>
      <c r="D54" s="362">
        <f t="shared" si="53"/>
        <v>13.95964576914473</v>
      </c>
      <c r="E54" s="362">
        <f t="shared" si="54"/>
        <v>298.47939808589769</v>
      </c>
      <c r="F54" s="367">
        <f t="shared" si="63"/>
        <v>35178.682312594203</v>
      </c>
      <c r="G54" s="362"/>
      <c r="H54" s="364">
        <f t="shared" si="55"/>
        <v>1181.8726858076905</v>
      </c>
      <c r="I54" s="364">
        <f t="shared" si="56"/>
        <v>0</v>
      </c>
      <c r="J54" s="357">
        <f t="shared" si="57"/>
        <v>0</v>
      </c>
      <c r="K54" s="361">
        <f t="shared" si="49"/>
        <v>491081.94370909221</v>
      </c>
      <c r="M54" s="355">
        <v>42</v>
      </c>
      <c r="N54" s="361">
        <f t="shared" si="58"/>
        <v>4166.666666666667</v>
      </c>
      <c r="O54" s="364">
        <f t="shared" si="59"/>
        <v>3681.3333333333335</v>
      </c>
      <c r="P54" s="365">
        <f t="shared" si="60"/>
        <v>8.3333333333333332E-3</v>
      </c>
      <c r="Q54" s="362">
        <f t="shared" si="61"/>
        <v>9.904972207515149</v>
      </c>
      <c r="R54" s="362">
        <f t="shared" si="62"/>
        <v>9.821638874181815</v>
      </c>
      <c r="S54" s="364">
        <f t="shared" si="50"/>
        <v>485.33333333333348</v>
      </c>
      <c r="T54" s="361">
        <f t="shared" si="51"/>
        <v>491081.94370909076</v>
      </c>
    </row>
    <row r="55" spans="2:20">
      <c r="B55" s="355">
        <v>43</v>
      </c>
      <c r="C55" s="361">
        <f t="shared" si="52"/>
        <v>4166.666666666667</v>
      </c>
      <c r="D55" s="362">
        <f t="shared" si="53"/>
        <v>14.070961944845642</v>
      </c>
      <c r="E55" s="362">
        <f t="shared" si="54"/>
        <v>296.11811068773204</v>
      </c>
      <c r="F55" s="367">
        <f t="shared" si="63"/>
        <v>34882.564201906469</v>
      </c>
      <c r="G55" s="362"/>
      <c r="H55" s="364">
        <f t="shared" si="55"/>
        <v>1205.4855597893468</v>
      </c>
      <c r="I55" s="364">
        <f t="shared" si="56"/>
        <v>0</v>
      </c>
      <c r="J55" s="357">
        <f t="shared" si="57"/>
        <v>0</v>
      </c>
      <c r="K55" s="361">
        <f t="shared" si="49"/>
        <v>490831.2334236608</v>
      </c>
      <c r="M55" s="355">
        <v>43</v>
      </c>
      <c r="N55" s="361">
        <f t="shared" si="58"/>
        <v>4166.666666666667</v>
      </c>
      <c r="O55" s="364">
        <f t="shared" si="59"/>
        <v>3681.3333333333335</v>
      </c>
      <c r="P55" s="365">
        <f t="shared" si="60"/>
        <v>8.3333333333333332E-3</v>
      </c>
      <c r="Q55" s="362">
        <f t="shared" si="61"/>
        <v>9.899958001806521</v>
      </c>
      <c r="R55" s="362">
        <f t="shared" si="62"/>
        <v>9.816624668473187</v>
      </c>
      <c r="S55" s="364">
        <f t="shared" si="50"/>
        <v>485.33333333333348</v>
      </c>
      <c r="T55" s="361">
        <f t="shared" si="51"/>
        <v>490831.23342365935</v>
      </c>
    </row>
    <row r="56" spans="2:20">
      <c r="B56" s="355">
        <v>44</v>
      </c>
      <c r="C56" s="361">
        <f t="shared" si="52"/>
        <v>4166.666666666667</v>
      </c>
      <c r="D56" s="362">
        <f t="shared" si="53"/>
        <v>14.183165771363603</v>
      </c>
      <c r="E56" s="362">
        <f t="shared" si="54"/>
        <v>293.77550356771116</v>
      </c>
      <c r="F56" s="367">
        <f t="shared" si="63"/>
        <v>34588.788698338758</v>
      </c>
      <c r="G56" s="362"/>
      <c r="H56" s="364">
        <f t="shared" si="55"/>
        <v>1228.9116309895553</v>
      </c>
      <c r="I56" s="364">
        <f t="shared" si="56"/>
        <v>0</v>
      </c>
      <c r="J56" s="357">
        <f t="shared" si="57"/>
        <v>0</v>
      </c>
      <c r="K56" s="361">
        <f t="shared" si="49"/>
        <v>490578.5239392065</v>
      </c>
      <c r="M56" s="355">
        <v>44</v>
      </c>
      <c r="N56" s="361">
        <f t="shared" si="58"/>
        <v>4166.666666666667</v>
      </c>
      <c r="O56" s="364">
        <f t="shared" si="59"/>
        <v>3681.3333333333335</v>
      </c>
      <c r="P56" s="365">
        <f t="shared" si="60"/>
        <v>8.3333333333333332E-3</v>
      </c>
      <c r="Q56" s="362">
        <f t="shared" si="61"/>
        <v>9.894903812117434</v>
      </c>
      <c r="R56" s="362">
        <f t="shared" si="62"/>
        <v>9.8115704787841</v>
      </c>
      <c r="S56" s="364">
        <f t="shared" si="50"/>
        <v>485.33333333333348</v>
      </c>
      <c r="T56" s="361">
        <f t="shared" si="51"/>
        <v>490578.52393920498</v>
      </c>
    </row>
    <row r="57" spans="2:20">
      <c r="B57" s="355">
        <v>45</v>
      </c>
      <c r="C57" s="361">
        <f t="shared" si="52"/>
        <v>4166.666666666667</v>
      </c>
      <c r="D57" s="362">
        <f t="shared" si="53"/>
        <v>14.296264326950878</v>
      </c>
      <c r="E57" s="362">
        <f t="shared" si="54"/>
        <v>291.45142894509826</v>
      </c>
      <c r="F57" s="367">
        <f t="shared" si="63"/>
        <v>34297.337269393662</v>
      </c>
      <c r="G57" s="362"/>
      <c r="H57" s="364">
        <f t="shared" si="55"/>
        <v>1252.1523772156841</v>
      </c>
      <c r="I57" s="364">
        <f t="shared" si="56"/>
        <v>0</v>
      </c>
      <c r="J57" s="357">
        <f t="shared" si="57"/>
        <v>0</v>
      </c>
      <c r="K57" s="361">
        <f t="shared" si="49"/>
        <v>490323.79931383545</v>
      </c>
      <c r="M57" s="355">
        <v>45</v>
      </c>
      <c r="N57" s="361">
        <f t="shared" si="58"/>
        <v>4166.666666666667</v>
      </c>
      <c r="O57" s="364">
        <f t="shared" si="59"/>
        <v>3681.3333333333335</v>
      </c>
      <c r="P57" s="365">
        <f t="shared" si="60"/>
        <v>8.3333333333333332E-3</v>
      </c>
      <c r="Q57" s="362">
        <f t="shared" si="61"/>
        <v>9.889809319610011</v>
      </c>
      <c r="R57" s="362">
        <f t="shared" si="62"/>
        <v>9.806475986276677</v>
      </c>
      <c r="S57" s="364">
        <f t="shared" si="50"/>
        <v>485.33333333333348</v>
      </c>
      <c r="T57" s="361">
        <f t="shared" si="51"/>
        <v>490323.79931383388</v>
      </c>
    </row>
    <row r="58" spans="2:20">
      <c r="B58" s="355">
        <v>46</v>
      </c>
      <c r="C58" s="361">
        <f t="shared" si="52"/>
        <v>4166.666666666667</v>
      </c>
      <c r="D58" s="362">
        <f t="shared" si="53"/>
        <v>14.410264746302712</v>
      </c>
      <c r="E58" s="362">
        <f t="shared" si="54"/>
        <v>289.1457402082583</v>
      </c>
      <c r="F58" s="367">
        <f t="shared" si="63"/>
        <v>34008.191529185402</v>
      </c>
      <c r="G58" s="362"/>
      <c r="H58" s="364">
        <f t="shared" si="55"/>
        <v>1275.2092645840842</v>
      </c>
      <c r="I58" s="364">
        <f t="shared" si="56"/>
        <v>0</v>
      </c>
      <c r="J58" s="357">
        <f t="shared" si="57"/>
        <v>0</v>
      </c>
      <c r="K58" s="361">
        <f t="shared" si="49"/>
        <v>490067.04347853089</v>
      </c>
      <c r="M58" s="355">
        <v>46</v>
      </c>
      <c r="N58" s="361">
        <f t="shared" si="58"/>
        <v>4166.666666666667</v>
      </c>
      <c r="O58" s="364">
        <f t="shared" si="59"/>
        <v>3681.3333333333335</v>
      </c>
      <c r="P58" s="365">
        <f t="shared" si="60"/>
        <v>8.3333333333333332E-3</v>
      </c>
      <c r="Q58" s="362">
        <f t="shared" si="61"/>
        <v>9.8846742029039198</v>
      </c>
      <c r="R58" s="362">
        <f t="shared" si="62"/>
        <v>9.8013408695705859</v>
      </c>
      <c r="S58" s="364">
        <f t="shared" si="50"/>
        <v>485.33333333333348</v>
      </c>
      <c r="T58" s="361">
        <f t="shared" si="51"/>
        <v>490067.04347852932</v>
      </c>
    </row>
    <row r="59" spans="2:20">
      <c r="B59" s="355">
        <v>47</v>
      </c>
      <c r="C59" s="361">
        <f t="shared" si="52"/>
        <v>4166.666666666667</v>
      </c>
      <c r="D59" s="362">
        <f t="shared" si="53"/>
        <v>14.525174221007411</v>
      </c>
      <c r="E59" s="362">
        <f t="shared" si="54"/>
        <v>286.85829190540909</v>
      </c>
      <c r="F59" s="367">
        <f t="shared" si="63"/>
        <v>33721.333237279992</v>
      </c>
      <c r="G59" s="362"/>
      <c r="H59" s="364">
        <f t="shared" si="55"/>
        <v>1298.0837476125762</v>
      </c>
      <c r="I59" s="364">
        <f t="shared" si="56"/>
        <v>0</v>
      </c>
      <c r="J59" s="357">
        <f t="shared" si="57"/>
        <v>0</v>
      </c>
      <c r="K59" s="361">
        <f t="shared" si="49"/>
        <v>489808.24023613974</v>
      </c>
      <c r="M59" s="355">
        <v>47</v>
      </c>
      <c r="N59" s="361">
        <f t="shared" si="58"/>
        <v>4166.666666666667</v>
      </c>
      <c r="O59" s="364">
        <f t="shared" si="59"/>
        <v>3681.3333333333335</v>
      </c>
      <c r="P59" s="365">
        <f t="shared" si="60"/>
        <v>8.3333333333333332E-3</v>
      </c>
      <c r="Q59" s="362">
        <f t="shared" si="61"/>
        <v>9.8794981380560962</v>
      </c>
      <c r="R59" s="362">
        <f t="shared" si="62"/>
        <v>9.7961648047227623</v>
      </c>
      <c r="S59" s="364">
        <f t="shared" si="50"/>
        <v>485.33333333333348</v>
      </c>
      <c r="T59" s="361">
        <f t="shared" si="51"/>
        <v>489808.24023613811</v>
      </c>
    </row>
    <row r="60" spans="2:20">
      <c r="B60" s="355">
        <v>48</v>
      </c>
      <c r="C60" s="361">
        <f t="shared" si="52"/>
        <v>4166.666666666667</v>
      </c>
      <c r="D60" s="362">
        <f t="shared" si="53"/>
        <v>14.641000000000018</v>
      </c>
      <c r="E60" s="362">
        <f t="shared" si="54"/>
        <v>284.58893973544582</v>
      </c>
      <c r="F60" s="357">
        <f t="shared" si="63"/>
        <v>33436.744297544545</v>
      </c>
      <c r="G60" s="362"/>
      <c r="H60" s="364">
        <f t="shared" si="55"/>
        <v>1320.777269312209</v>
      </c>
      <c r="I60" s="364">
        <f t="shared" si="56"/>
        <v>0</v>
      </c>
      <c r="J60" s="357">
        <f t="shared" si="57"/>
        <v>0</v>
      </c>
      <c r="K60" s="361">
        <f t="shared" si="49"/>
        <v>489547.37326035026</v>
      </c>
      <c r="M60" s="355">
        <v>48</v>
      </c>
      <c r="N60" s="361">
        <f t="shared" si="58"/>
        <v>4166.666666666667</v>
      </c>
      <c r="O60" s="364">
        <f t="shared" si="59"/>
        <v>3681.3333333333335</v>
      </c>
      <c r="P60" s="365">
        <f t="shared" si="60"/>
        <v>8.3333333333333332E-3</v>
      </c>
      <c r="Q60" s="362">
        <f t="shared" si="61"/>
        <v>9.8742807985403065</v>
      </c>
      <c r="R60" s="362">
        <f t="shared" si="62"/>
        <v>9.7909474652069726</v>
      </c>
      <c r="S60" s="364">
        <f t="shared" si="50"/>
        <v>485.33333333333348</v>
      </c>
      <c r="T60" s="361">
        <f t="shared" si="51"/>
        <v>489547.37326034863</v>
      </c>
    </row>
    <row r="61" spans="2:20">
      <c r="B61" s="523" t="s">
        <v>312</v>
      </c>
      <c r="C61" s="524">
        <f>SUM(C49:C60)</f>
        <v>49999.999999999993</v>
      </c>
      <c r="D61" s="525"/>
      <c r="E61" s="528"/>
      <c r="F61" s="527"/>
      <c r="G61" s="528"/>
      <c r="H61" s="528"/>
      <c r="I61" s="528"/>
      <c r="J61" s="532">
        <f>IF($C$3 = "Debt Fund",  SUM(J49:J60), IF( SUM(H49:H60) &gt;100000, (SUM(H49:H60) - 100000) * 10.4%,0))</f>
        <v>0</v>
      </c>
      <c r="K61" s="533"/>
      <c r="M61" s="523" t="s">
        <v>312</v>
      </c>
      <c r="N61" s="524">
        <f t="shared" ref="N61" si="64">SUM(N49:N60)</f>
        <v>49999.999999999993</v>
      </c>
      <c r="O61" s="525"/>
      <c r="P61" s="526">
        <f t="shared" ref="P61" si="65">SUM(P49:P60)</f>
        <v>9.9999999999999992E-2</v>
      </c>
      <c r="Q61" s="527"/>
      <c r="R61" s="528"/>
      <c r="S61" s="529">
        <f t="shared" ref="S61" si="66">SUM(S49:S60)</f>
        <v>5824.0000000000036</v>
      </c>
      <c r="T61" s="532"/>
    </row>
    <row r="62" spans="2:20">
      <c r="B62" s="523" t="s">
        <v>313</v>
      </c>
      <c r="C62" s="524">
        <f>C61-J61</f>
        <v>49999.999999999993</v>
      </c>
      <c r="D62" s="530"/>
      <c r="E62" s="530"/>
      <c r="F62" s="530"/>
      <c r="G62" s="530"/>
      <c r="H62" s="530"/>
      <c r="I62" s="530"/>
      <c r="J62" s="534">
        <f>IFERROR(J61/C61,0)</f>
        <v>0</v>
      </c>
      <c r="K62" s="535"/>
      <c r="M62" s="523" t="s">
        <v>313</v>
      </c>
      <c r="N62" s="524">
        <f t="shared" ref="N62" si="67">N61-S61</f>
        <v>44175.999999999985</v>
      </c>
      <c r="O62" s="530"/>
      <c r="P62" s="530"/>
      <c r="Q62" s="530"/>
      <c r="R62" s="530"/>
      <c r="S62" s="531">
        <f>IFERROR(S61/N61, 0)</f>
        <v>0.11648000000000008</v>
      </c>
      <c r="T62" s="534"/>
    </row>
    <row r="63" spans="2:20">
      <c r="B63" s="355">
        <v>49</v>
      </c>
      <c r="C63" s="361">
        <f>IF(C60=0,                   0, IF((C60/D63)&gt;F60,                                                         IF(F60=0, 0, F60*D63),                                                                               $C$2*$F$2/12))</f>
        <v>4166.666666666667</v>
      </c>
      <c r="D63" s="362">
        <f>D60*(1+(NOMINAL($F$1,12)/12))</f>
        <v>14.757749390019598</v>
      </c>
      <c r="E63" s="362">
        <f>IF((C63/D63)&gt;F60,F60,(C63/D63))</f>
        <v>282.3375405388378</v>
      </c>
      <c r="F63" s="367">
        <f>F60-E63</f>
        <v>33154.406757005709</v>
      </c>
      <c r="G63" s="362"/>
      <c r="H63" s="364">
        <f>E63*(D63-10)</f>
        <v>1343.2912612782889</v>
      </c>
      <c r="I63" s="364">
        <f>IF($C$3="Balanced /Equity",0,E63*(D63-FV($F$3,4,,-10)))</f>
        <v>0</v>
      </c>
      <c r="J63" s="357">
        <f>IF($C$3="Balanced /Equity",0,I63*$F$4)</f>
        <v>0</v>
      </c>
      <c r="K63" s="361">
        <f t="shared" ref="K63:K74" si="68">D63*F63</f>
        <v>489284.42609466263</v>
      </c>
      <c r="M63" s="355">
        <v>49</v>
      </c>
      <c r="N63" s="361">
        <f>IF($L$4 = 1, $C$2*$F$2/12, 0)</f>
        <v>4166.666666666667</v>
      </c>
      <c r="O63" s="364">
        <f>IF($L$4 =1, IF($C$3="Balanced /Equity",N63*(1-(E_DDT*(1+E_Surcharge)*(1+E_ServiceTax))),N63*(1-(D_DDT*(1+D_Surcharge)*(1+D_ServiceTax)))),0)</f>
        <v>3681.3333333333335</v>
      </c>
      <c r="P63" s="365">
        <f>IF($L$4 =1, N63/(10*$F$6), 0)</f>
        <v>8.3333333333333332E-3</v>
      </c>
      <c r="Q63" s="362">
        <f>IF($L$4 = 1, R60*(1+(NOMINAL($F$1,12)/12)), 0)</f>
        <v>9.8690218552265527</v>
      </c>
      <c r="R63" s="362">
        <f>IF( $L$4 = 1, Q63-(P63*10), 0)</f>
        <v>9.7856885218932188</v>
      </c>
      <c r="S63" s="364">
        <f t="shared" ref="S63:S74" si="69">IF($L$4 = 1, N63-O63, 0)</f>
        <v>485.33333333333348</v>
      </c>
      <c r="T63" s="361">
        <f t="shared" ref="T63:T74" si="70">IF($L$4 = 1, $F$6*R63, 0)</f>
        <v>489284.42609466094</v>
      </c>
    </row>
    <row r="64" spans="2:20">
      <c r="B64" s="355">
        <v>50</v>
      </c>
      <c r="C64" s="361">
        <f t="shared" ref="C64:C74" si="71">IF(C63=0,                   0, IF((C63/D64)&gt;F63,                                                         IF(F63=0, 0, F63*D64),                                                                               $C$2*$F$2/12))</f>
        <v>4166.666666666667</v>
      </c>
      <c r="D64" s="362">
        <f t="shared" ref="D64:D74" si="72">D63*(1+(NOMINAL($F$1,12)/12))</f>
        <v>14.875429756070183</v>
      </c>
      <c r="E64" s="362">
        <f t="shared" ref="E64:E74" si="73">IF((C64/D64)&gt;F63,F63,(C64/D64))</f>
        <v>280.10395228859755</v>
      </c>
      <c r="F64" s="367">
        <f>F63-E64</f>
        <v>32874.30280471711</v>
      </c>
      <c r="G64" s="362"/>
      <c r="H64" s="364">
        <f t="shared" ref="H64:H74" si="74">E64*(D64-10)</f>
        <v>1365.6271437806913</v>
      </c>
      <c r="I64" s="364">
        <f t="shared" ref="I64:I74" si="75">IF($C$3="Balanced /Equity",0,E64*(D64-FV($F$3,4,,-10)))</f>
        <v>0</v>
      </c>
      <c r="J64" s="357">
        <f t="shared" ref="J64:J74" si="76">IF($C$3="Balanced /Equity",0,I64*$F$4)</f>
        <v>0</v>
      </c>
      <c r="K64" s="361">
        <f t="shared" si="68"/>
        <v>489019.38215135038</v>
      </c>
      <c r="M64" s="355">
        <v>50</v>
      </c>
      <c r="N64" s="361">
        <f t="shared" ref="N64:N74" si="77">IF($L$4 =1, $C$2*$F$2/12, 0)</f>
        <v>4166.666666666667</v>
      </c>
      <c r="O64" s="364">
        <f t="shared" ref="O64:O74" si="78">IF($L$4 = 1, IF($C$3="Balanced /Equity",N64*(1-(E_DDT*(1+E_Surcharge)*(1+E_ServiceTax))),N64*(1-(D_DDT*(1+D_Surcharge)*(1+D_ServiceTax)))), 0)</f>
        <v>3681.3333333333335</v>
      </c>
      <c r="P64" s="365">
        <f t="shared" ref="P64:P74" si="79">IF($L$4 = 1, N64/(10*$F$6), 0)</f>
        <v>8.3333333333333332E-3</v>
      </c>
      <c r="Q64" s="362">
        <f t="shared" ref="Q64:Q74" si="80">IF($L$4 = 1, R63*(1+(NOMINAL($F$1,12)/12)), 0)</f>
        <v>9.8637209763603071</v>
      </c>
      <c r="R64" s="362">
        <f t="shared" ref="R64:R74" si="81">IF($L$4 = 1, Q64-(P64*10), 0)</f>
        <v>9.7803876430269732</v>
      </c>
      <c r="S64" s="364">
        <f t="shared" si="69"/>
        <v>485.33333333333348</v>
      </c>
      <c r="T64" s="361">
        <f t="shared" si="70"/>
        <v>489019.38215134863</v>
      </c>
    </row>
    <row r="65" spans="2:20">
      <c r="B65" s="355">
        <v>51</v>
      </c>
      <c r="C65" s="361">
        <f t="shared" si="71"/>
        <v>4166.666666666667</v>
      </c>
      <c r="D65" s="362">
        <f t="shared" si="72"/>
        <v>14.994048521885381</v>
      </c>
      <c r="E65" s="362">
        <f t="shared" si="73"/>
        <v>277.88803408132111</v>
      </c>
      <c r="F65" s="367">
        <f t="shared" ref="F65:F74" si="82">F64-E65</f>
        <v>32596.414770635791</v>
      </c>
      <c r="G65" s="362"/>
      <c r="H65" s="364">
        <f t="shared" si="74"/>
        <v>1387.786325853456</v>
      </c>
      <c r="I65" s="364">
        <f t="shared" si="75"/>
        <v>0</v>
      </c>
      <c r="J65" s="357">
        <f t="shared" si="76"/>
        <v>0</v>
      </c>
      <c r="K65" s="361">
        <f t="shared" si="68"/>
        <v>488752.22471041436</v>
      </c>
      <c r="M65" s="355">
        <v>51</v>
      </c>
      <c r="N65" s="361">
        <f t="shared" si="77"/>
        <v>4166.666666666667</v>
      </c>
      <c r="O65" s="364">
        <f t="shared" si="78"/>
        <v>3681.3333333333335</v>
      </c>
      <c r="P65" s="365">
        <f t="shared" si="79"/>
        <v>8.3333333333333332E-3</v>
      </c>
      <c r="Q65" s="362">
        <f t="shared" si="80"/>
        <v>9.8583778275415845</v>
      </c>
      <c r="R65" s="362">
        <f t="shared" si="81"/>
        <v>9.7750444942082506</v>
      </c>
      <c r="S65" s="364">
        <f t="shared" si="69"/>
        <v>485.33333333333348</v>
      </c>
      <c r="T65" s="361">
        <f t="shared" si="70"/>
        <v>488752.22471041256</v>
      </c>
    </row>
    <row r="66" spans="2:20">
      <c r="B66" s="355">
        <v>52</v>
      </c>
      <c r="C66" s="361">
        <f t="shared" si="71"/>
        <v>4166.666666666667</v>
      </c>
      <c r="D66" s="362">
        <f t="shared" si="72"/>
        <v>15.113613170396691</v>
      </c>
      <c r="E66" s="362">
        <f t="shared" si="73"/>
        <v>275.68964612829927</v>
      </c>
      <c r="F66" s="367">
        <f t="shared" si="82"/>
        <v>32320.725124507491</v>
      </c>
      <c r="G66" s="362"/>
      <c r="H66" s="364">
        <f t="shared" si="74"/>
        <v>1409.7702053836745</v>
      </c>
      <c r="I66" s="364">
        <f t="shared" si="75"/>
        <v>0</v>
      </c>
      <c r="J66" s="357">
        <f t="shared" si="76"/>
        <v>0</v>
      </c>
      <c r="K66" s="361">
        <f t="shared" si="68"/>
        <v>488482.93691852764</v>
      </c>
      <c r="M66" s="355">
        <v>52</v>
      </c>
      <c r="N66" s="361">
        <f t="shared" si="77"/>
        <v>4166.666666666667</v>
      </c>
      <c r="O66" s="364">
        <f t="shared" si="78"/>
        <v>3681.3333333333335</v>
      </c>
      <c r="P66" s="365">
        <f t="shared" si="79"/>
        <v>8.3333333333333332E-3</v>
      </c>
      <c r="Q66" s="362">
        <f t="shared" si="80"/>
        <v>9.8529920717038504</v>
      </c>
      <c r="R66" s="362">
        <f t="shared" si="81"/>
        <v>9.7696587383705165</v>
      </c>
      <c r="S66" s="364">
        <f t="shared" si="69"/>
        <v>485.33333333333348</v>
      </c>
      <c r="T66" s="361">
        <f t="shared" si="70"/>
        <v>488482.93691852584</v>
      </c>
    </row>
    <row r="67" spans="2:20">
      <c r="B67" s="355">
        <v>53</v>
      </c>
      <c r="C67" s="361">
        <f t="shared" si="71"/>
        <v>4166.666666666667</v>
      </c>
      <c r="D67" s="362">
        <f t="shared" si="72"/>
        <v>15.234131244205564</v>
      </c>
      <c r="E67" s="362">
        <f t="shared" si="73"/>
        <v>273.50864974669923</v>
      </c>
      <c r="F67" s="367">
        <f t="shared" si="82"/>
        <v>32047.216474760793</v>
      </c>
      <c r="G67" s="362"/>
      <c r="H67" s="364">
        <f t="shared" si="74"/>
        <v>1431.5801691996746</v>
      </c>
      <c r="I67" s="364">
        <f t="shared" si="75"/>
        <v>0</v>
      </c>
      <c r="J67" s="357">
        <f t="shared" si="76"/>
        <v>0</v>
      </c>
      <c r="K67" s="361">
        <f t="shared" si="68"/>
        <v>488211.50178797269</v>
      </c>
      <c r="M67" s="355">
        <v>53</v>
      </c>
      <c r="N67" s="361">
        <f t="shared" si="77"/>
        <v>4166.666666666667</v>
      </c>
      <c r="O67" s="364">
        <f t="shared" si="78"/>
        <v>3681.3333333333335</v>
      </c>
      <c r="P67" s="365">
        <f t="shared" si="79"/>
        <v>8.3333333333333332E-3</v>
      </c>
      <c r="Q67" s="362">
        <f t="shared" si="80"/>
        <v>9.8475633690927502</v>
      </c>
      <c r="R67" s="362">
        <f t="shared" si="81"/>
        <v>9.7642300357594163</v>
      </c>
      <c r="S67" s="364">
        <f t="shared" si="69"/>
        <v>485.33333333333348</v>
      </c>
      <c r="T67" s="361">
        <f t="shared" si="70"/>
        <v>488211.50178797083</v>
      </c>
    </row>
    <row r="68" spans="2:20">
      <c r="B68" s="355">
        <v>54</v>
      </c>
      <c r="C68" s="361">
        <f t="shared" si="71"/>
        <v>4166.666666666667</v>
      </c>
      <c r="D68" s="362">
        <f t="shared" si="72"/>
        <v>15.35561034605921</v>
      </c>
      <c r="E68" s="362">
        <f t="shared" si="73"/>
        <v>271.34490735081596</v>
      </c>
      <c r="F68" s="367">
        <f t="shared" si="82"/>
        <v>31775.871567409977</v>
      </c>
      <c r="G68" s="362"/>
      <c r="H68" s="364">
        <f t="shared" si="74"/>
        <v>1453.2175931585077</v>
      </c>
      <c r="I68" s="364">
        <f t="shared" si="75"/>
        <v>0</v>
      </c>
      <c r="J68" s="357">
        <f t="shared" si="76"/>
        <v>0</v>
      </c>
      <c r="K68" s="361">
        <f t="shared" si="68"/>
        <v>487937.9021955693</v>
      </c>
      <c r="M68" s="355">
        <v>54</v>
      </c>
      <c r="N68" s="361">
        <f t="shared" si="77"/>
        <v>4166.666666666667</v>
      </c>
      <c r="O68" s="364">
        <f t="shared" si="78"/>
        <v>3681.3333333333335</v>
      </c>
      <c r="P68" s="365">
        <f t="shared" si="79"/>
        <v>8.3333333333333332E-3</v>
      </c>
      <c r="Q68" s="362">
        <f t="shared" si="80"/>
        <v>9.8420913772446816</v>
      </c>
      <c r="R68" s="362">
        <f t="shared" si="81"/>
        <v>9.7587580439113477</v>
      </c>
      <c r="S68" s="364">
        <f t="shared" si="69"/>
        <v>485.33333333333348</v>
      </c>
      <c r="T68" s="361">
        <f t="shared" si="70"/>
        <v>487937.90219556738</v>
      </c>
    </row>
    <row r="69" spans="2:20">
      <c r="B69" s="355">
        <v>55</v>
      </c>
      <c r="C69" s="361">
        <f t="shared" si="71"/>
        <v>4166.666666666667</v>
      </c>
      <c r="D69" s="362">
        <f t="shared" si="72"/>
        <v>15.478058139330214</v>
      </c>
      <c r="E69" s="362">
        <f t="shared" si="73"/>
        <v>269.1982824433926</v>
      </c>
      <c r="F69" s="367">
        <f t="shared" si="82"/>
        <v>31506.673284966586</v>
      </c>
      <c r="G69" s="362"/>
      <c r="H69" s="364">
        <f t="shared" si="74"/>
        <v>1474.6838422327407</v>
      </c>
      <c r="I69" s="364">
        <f t="shared" si="75"/>
        <v>0</v>
      </c>
      <c r="J69" s="357">
        <f t="shared" si="76"/>
        <v>0</v>
      </c>
      <c r="K69" s="361">
        <f t="shared" si="68"/>
        <v>487662.12088159489</v>
      </c>
      <c r="M69" s="355">
        <v>55</v>
      </c>
      <c r="N69" s="361">
        <f t="shared" si="77"/>
        <v>4166.666666666667</v>
      </c>
      <c r="O69" s="364">
        <f t="shared" si="78"/>
        <v>3681.3333333333335</v>
      </c>
      <c r="P69" s="365">
        <f t="shared" si="79"/>
        <v>8.3333333333333332E-3</v>
      </c>
      <c r="Q69" s="362">
        <f t="shared" si="80"/>
        <v>9.8365757509651903</v>
      </c>
      <c r="R69" s="362">
        <f t="shared" si="81"/>
        <v>9.7532424176318564</v>
      </c>
      <c r="S69" s="364">
        <f t="shared" si="69"/>
        <v>485.33333333333348</v>
      </c>
      <c r="T69" s="361">
        <f t="shared" si="70"/>
        <v>487662.1208815928</v>
      </c>
    </row>
    <row r="70" spans="2:20">
      <c r="B70" s="355">
        <v>56</v>
      </c>
      <c r="C70" s="361">
        <f t="shared" si="71"/>
        <v>4166.666666666667</v>
      </c>
      <c r="D70" s="362">
        <f t="shared" si="72"/>
        <v>15.601482348499969</v>
      </c>
      <c r="E70" s="362">
        <f t="shared" si="73"/>
        <v>267.06863960701003</v>
      </c>
      <c r="F70" s="367">
        <f t="shared" si="82"/>
        <v>31239.604645359577</v>
      </c>
      <c r="G70" s="362"/>
      <c r="H70" s="364">
        <f t="shared" si="74"/>
        <v>1495.9802705965665</v>
      </c>
      <c r="I70" s="364">
        <f t="shared" si="75"/>
        <v>0</v>
      </c>
      <c r="J70" s="357">
        <f t="shared" si="76"/>
        <v>0</v>
      </c>
      <c r="K70" s="361">
        <f t="shared" si="68"/>
        <v>487384.14044869511</v>
      </c>
      <c r="M70" s="355">
        <v>56</v>
      </c>
      <c r="N70" s="361">
        <f t="shared" si="77"/>
        <v>4166.666666666667</v>
      </c>
      <c r="O70" s="364">
        <f t="shared" si="78"/>
        <v>3681.3333333333335</v>
      </c>
      <c r="P70" s="365">
        <f t="shared" si="79"/>
        <v>8.3333333333333332E-3</v>
      </c>
      <c r="Q70" s="362">
        <f t="shared" si="80"/>
        <v>9.8310161423071936</v>
      </c>
      <c r="R70" s="362">
        <f t="shared" si="81"/>
        <v>9.7476828089738596</v>
      </c>
      <c r="S70" s="364">
        <f t="shared" si="69"/>
        <v>485.33333333333348</v>
      </c>
      <c r="T70" s="361">
        <f t="shared" si="70"/>
        <v>487384.14044869295</v>
      </c>
    </row>
    <row r="71" spans="2:20">
      <c r="B71" s="355">
        <v>57</v>
      </c>
      <c r="C71" s="361">
        <f t="shared" si="71"/>
        <v>4166.666666666667</v>
      </c>
      <c r="D71" s="362">
        <f t="shared" si="72"/>
        <v>15.725890759645971</v>
      </c>
      <c r="E71" s="362">
        <f t="shared" si="73"/>
        <v>264.95584449554377</v>
      </c>
      <c r="F71" s="367">
        <f t="shared" si="82"/>
        <v>30974.648800864034</v>
      </c>
      <c r="G71" s="362"/>
      <c r="H71" s="364">
        <f t="shared" si="74"/>
        <v>1517.1082217112289</v>
      </c>
      <c r="I71" s="364">
        <f t="shared" si="75"/>
        <v>0</v>
      </c>
      <c r="J71" s="357">
        <f t="shared" si="76"/>
        <v>0</v>
      </c>
      <c r="K71" s="361">
        <f t="shared" si="68"/>
        <v>487103.94336078683</v>
      </c>
      <c r="M71" s="355">
        <v>57</v>
      </c>
      <c r="N71" s="361">
        <f t="shared" si="77"/>
        <v>4166.666666666667</v>
      </c>
      <c r="O71" s="364">
        <f t="shared" si="78"/>
        <v>3681.3333333333335</v>
      </c>
      <c r="P71" s="365">
        <f t="shared" si="79"/>
        <v>8.3333333333333332E-3</v>
      </c>
      <c r="Q71" s="362">
        <f t="shared" si="80"/>
        <v>9.8254122005490281</v>
      </c>
      <c r="R71" s="362">
        <f t="shared" si="81"/>
        <v>9.7420788672156942</v>
      </c>
      <c r="S71" s="364">
        <f t="shared" si="69"/>
        <v>485.33333333333348</v>
      </c>
      <c r="T71" s="361">
        <f t="shared" si="70"/>
        <v>487103.94336078473</v>
      </c>
    </row>
    <row r="72" spans="2:20">
      <c r="B72" s="355">
        <v>58</v>
      </c>
      <c r="C72" s="361">
        <f t="shared" si="71"/>
        <v>4166.666666666667</v>
      </c>
      <c r="D72" s="362">
        <f t="shared" si="72"/>
        <v>15.851291220932987</v>
      </c>
      <c r="E72" s="362">
        <f t="shared" si="73"/>
        <v>262.8597638256893</v>
      </c>
      <c r="F72" s="367">
        <f t="shared" si="82"/>
        <v>30711.789037038343</v>
      </c>
      <c r="G72" s="362"/>
      <c r="H72" s="364">
        <f t="shared" si="74"/>
        <v>1538.0690284097743</v>
      </c>
      <c r="I72" s="364">
        <f t="shared" si="75"/>
        <v>0</v>
      </c>
      <c r="J72" s="357">
        <f t="shared" si="76"/>
        <v>0</v>
      </c>
      <c r="K72" s="361">
        <f t="shared" si="68"/>
        <v>486821.51194195187</v>
      </c>
      <c r="M72" s="355">
        <v>58</v>
      </c>
      <c r="N72" s="361">
        <f t="shared" si="77"/>
        <v>4166.666666666667</v>
      </c>
      <c r="O72" s="364">
        <f t="shared" si="78"/>
        <v>3681.3333333333335</v>
      </c>
      <c r="P72" s="365">
        <f t="shared" si="79"/>
        <v>8.3333333333333332E-3</v>
      </c>
      <c r="Q72" s="362">
        <f t="shared" si="80"/>
        <v>9.8197635721723273</v>
      </c>
      <c r="R72" s="362">
        <f t="shared" si="81"/>
        <v>9.7364302388389934</v>
      </c>
      <c r="S72" s="364">
        <f t="shared" si="69"/>
        <v>485.33333333333348</v>
      </c>
      <c r="T72" s="361">
        <f t="shared" si="70"/>
        <v>486821.51194194966</v>
      </c>
    </row>
    <row r="73" spans="2:20">
      <c r="B73" s="355">
        <v>59</v>
      </c>
      <c r="C73" s="361">
        <f t="shared" si="71"/>
        <v>4166.666666666667</v>
      </c>
      <c r="D73" s="362">
        <f t="shared" si="72"/>
        <v>15.977691643108157</v>
      </c>
      <c r="E73" s="362">
        <f t="shared" si="73"/>
        <v>260.78026536855361</v>
      </c>
      <c r="F73" s="367">
        <f t="shared" si="82"/>
        <v>30451.008771669789</v>
      </c>
      <c r="G73" s="362"/>
      <c r="H73" s="364">
        <f t="shared" si="74"/>
        <v>1558.8640129811304</v>
      </c>
      <c r="I73" s="364">
        <f t="shared" si="75"/>
        <v>0</v>
      </c>
      <c r="J73" s="357">
        <f t="shared" si="76"/>
        <v>0</v>
      </c>
      <c r="K73" s="361">
        <f t="shared" si="68"/>
        <v>486536.82837532158</v>
      </c>
      <c r="M73" s="355">
        <v>59</v>
      </c>
      <c r="N73" s="361">
        <f t="shared" si="77"/>
        <v>4166.666666666667</v>
      </c>
      <c r="O73" s="364">
        <f t="shared" si="78"/>
        <v>3681.3333333333335</v>
      </c>
      <c r="P73" s="365">
        <f t="shared" si="79"/>
        <v>8.3333333333333332E-3</v>
      </c>
      <c r="Q73" s="362">
        <f t="shared" si="80"/>
        <v>9.814069900839721</v>
      </c>
      <c r="R73" s="362">
        <f t="shared" si="81"/>
        <v>9.730736567506387</v>
      </c>
      <c r="S73" s="364">
        <f t="shared" si="69"/>
        <v>485.33333333333348</v>
      </c>
      <c r="T73" s="361">
        <f t="shared" si="70"/>
        <v>486536.82837531937</v>
      </c>
    </row>
    <row r="74" spans="2:20">
      <c r="B74" s="355">
        <v>60</v>
      </c>
      <c r="C74" s="361">
        <f t="shared" si="71"/>
        <v>4166.666666666667</v>
      </c>
      <c r="D74" s="362">
        <f t="shared" si="72"/>
        <v>16.105100000000025</v>
      </c>
      <c r="E74" s="362">
        <f t="shared" si="73"/>
        <v>258.71721794131429</v>
      </c>
      <c r="F74" s="357">
        <f t="shared" si="82"/>
        <v>30192.291553728475</v>
      </c>
      <c r="G74" s="362"/>
      <c r="H74" s="364">
        <f t="shared" si="74"/>
        <v>1579.4944872535243</v>
      </c>
      <c r="I74" s="364">
        <f t="shared" si="75"/>
        <v>0</v>
      </c>
      <c r="J74" s="357">
        <f t="shared" si="76"/>
        <v>0</v>
      </c>
      <c r="K74" s="361">
        <f t="shared" si="68"/>
        <v>486249.8747019532</v>
      </c>
      <c r="M74" s="355">
        <v>60</v>
      </c>
      <c r="N74" s="361">
        <f t="shared" si="77"/>
        <v>4166.666666666667</v>
      </c>
      <c r="O74" s="364">
        <f t="shared" si="78"/>
        <v>3681.3333333333335</v>
      </c>
      <c r="P74" s="365">
        <f t="shared" si="79"/>
        <v>8.3333333333333332E-3</v>
      </c>
      <c r="Q74" s="362">
        <f t="shared" si="80"/>
        <v>9.8083308273723517</v>
      </c>
      <c r="R74" s="362">
        <f t="shared" si="81"/>
        <v>9.7249974940390178</v>
      </c>
      <c r="S74" s="364">
        <f t="shared" si="69"/>
        <v>485.33333333333348</v>
      </c>
      <c r="T74" s="361">
        <f t="shared" si="70"/>
        <v>486249.87470195087</v>
      </c>
    </row>
    <row r="75" spans="2:20">
      <c r="B75" s="523" t="s">
        <v>312</v>
      </c>
      <c r="C75" s="524">
        <f>SUM(C63:C74)</f>
        <v>49999.999999999993</v>
      </c>
      <c r="D75" s="525"/>
      <c r="E75" s="528"/>
      <c r="F75" s="527"/>
      <c r="G75" s="528"/>
      <c r="H75" s="528"/>
      <c r="I75" s="528"/>
      <c r="J75" s="532">
        <f>IF($C$3 = "Debt Fund",  SUM(J63:J74), IF( SUM(H63:H74) &gt;100000, (SUM(H63:H74) - 100000) * 10.4%,0))</f>
        <v>0</v>
      </c>
      <c r="K75" s="533"/>
      <c r="M75" s="523" t="s">
        <v>312</v>
      </c>
      <c r="N75" s="524">
        <f t="shared" ref="N75" si="83">SUM(N63:N74)</f>
        <v>49999.999999999993</v>
      </c>
      <c r="O75" s="525"/>
      <c r="P75" s="526">
        <f t="shared" ref="P75" si="84">SUM(P63:P74)</f>
        <v>9.9999999999999992E-2</v>
      </c>
      <c r="Q75" s="527"/>
      <c r="R75" s="528"/>
      <c r="S75" s="529">
        <f t="shared" ref="S75" si="85">SUM(S63:S74)</f>
        <v>5824.0000000000036</v>
      </c>
      <c r="T75" s="532"/>
    </row>
    <row r="76" spans="2:20">
      <c r="B76" s="523" t="s">
        <v>313</v>
      </c>
      <c r="C76" s="524">
        <f>C75-J75</f>
        <v>49999.999999999993</v>
      </c>
      <c r="D76" s="530"/>
      <c r="E76" s="530"/>
      <c r="F76" s="530"/>
      <c r="G76" s="530"/>
      <c r="H76" s="530"/>
      <c r="I76" s="530"/>
      <c r="J76" s="534">
        <f>IFERROR(J75/C75,0)</f>
        <v>0</v>
      </c>
      <c r="K76" s="535"/>
      <c r="M76" s="523" t="s">
        <v>313</v>
      </c>
      <c r="N76" s="524">
        <f t="shared" ref="N76" si="86">N75-S75</f>
        <v>44175.999999999985</v>
      </c>
      <c r="O76" s="530"/>
      <c r="P76" s="530"/>
      <c r="Q76" s="530"/>
      <c r="R76" s="530"/>
      <c r="S76" s="531">
        <f>IFERROR(S75/N75, 0)</f>
        <v>0.11648000000000008</v>
      </c>
      <c r="T76" s="534"/>
    </row>
  </sheetData>
  <sheetProtection formatColumns="0"/>
  <mergeCells count="8">
    <mergeCell ref="G1:I1"/>
    <mergeCell ref="D2:E2"/>
    <mergeCell ref="G2:I2"/>
    <mergeCell ref="B3:B4"/>
    <mergeCell ref="C3:C4"/>
    <mergeCell ref="D3:E3"/>
    <mergeCell ref="G3:I3"/>
    <mergeCell ref="G4:I4"/>
  </mergeCells>
  <pageMargins left="0.7" right="0.7" top="0.75" bottom="0.75" header="0.3" footer="0.3"/>
  <pageSetup scale="92" orientation="landscape" cellComments="asDisplayed" r:id="rId1"/>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B1:P16"/>
  <sheetViews>
    <sheetView showGridLines="0" workbookViewId="0"/>
  </sheetViews>
  <sheetFormatPr defaultColWidth="8.7109375" defaultRowHeight="15"/>
  <cols>
    <col min="1" max="1" width="1.85546875" style="274" customWidth="1"/>
    <col min="2" max="2" width="14.7109375" style="274" bestFit="1" customWidth="1"/>
    <col min="3" max="7" width="12.85546875" style="274" customWidth="1"/>
    <col min="8" max="8" width="1.85546875" style="274" customWidth="1"/>
    <col min="9" max="12" width="12.85546875" style="274" customWidth="1"/>
    <col min="13" max="14" width="8.7109375" style="274"/>
    <col min="15" max="15" width="8.7109375" style="274" hidden="1" customWidth="1"/>
    <col min="16" max="16384" width="8.7109375" style="274"/>
  </cols>
  <sheetData>
    <row r="1" spans="2:16">
      <c r="B1" s="661" t="s">
        <v>315</v>
      </c>
      <c r="C1" s="661"/>
    </row>
    <row r="2" spans="2:16" s="272" customFormat="1" ht="20.100000000000001" customHeight="1">
      <c r="B2" s="662"/>
      <c r="C2" s="662"/>
      <c r="G2" s="273" t="s">
        <v>245</v>
      </c>
      <c r="K2" s="273" t="s">
        <v>247</v>
      </c>
      <c r="O2" s="272" t="s">
        <v>246</v>
      </c>
    </row>
    <row r="3" spans="2:16" s="272" customFormat="1" ht="20.100000000000001" customHeight="1">
      <c r="B3" s="259" t="s">
        <v>224</v>
      </c>
      <c r="C3" s="260">
        <v>500000</v>
      </c>
      <c r="G3" s="681" t="s">
        <v>246</v>
      </c>
      <c r="H3" s="681"/>
      <c r="I3" s="681"/>
      <c r="K3" s="679">
        <v>0.08</v>
      </c>
      <c r="L3" s="680"/>
      <c r="O3" s="272" t="s">
        <v>226</v>
      </c>
    </row>
    <row r="4" spans="2:16" s="272" customFormat="1" ht="20.100000000000001" customHeight="1">
      <c r="B4" s="259" t="s">
        <v>167</v>
      </c>
      <c r="C4" s="372">
        <v>0.312</v>
      </c>
      <c r="G4" s="273" t="s">
        <v>248</v>
      </c>
      <c r="K4" s="273" t="s">
        <v>296</v>
      </c>
    </row>
    <row r="5" spans="2:16" s="272" customFormat="1" ht="20.100000000000001" customHeight="1">
      <c r="B5" s="259" t="s">
        <v>4</v>
      </c>
      <c r="C5" s="262">
        <v>7.0000000000000007E-2</v>
      </c>
      <c r="G5" s="682">
        <v>0.1</v>
      </c>
      <c r="H5" s="682"/>
      <c r="I5" s="682"/>
      <c r="K5" s="679">
        <v>0.08</v>
      </c>
      <c r="L5" s="680"/>
    </row>
    <row r="6" spans="2:16">
      <c r="B6" s="668" t="str">
        <f>IF(ISBLANK(G3),"SUMMARY CASH-FLOW for 5 years in case of SWP from Debt Fund vs. Interest Payout (FD)","SUMMARY CASH-FLOW for 5 years in case of SWP from "&amp;G3&amp;" vs. Interest Payout (FD)")</f>
        <v>SUMMARY CASH-FLOW for 5 years in case of SWP from Balanced /Equity vs. Interest Payout (FD)</v>
      </c>
      <c r="C6" s="668"/>
      <c r="D6" s="668"/>
      <c r="E6" s="668"/>
      <c r="F6" s="668"/>
      <c r="G6" s="668"/>
      <c r="H6" s="668"/>
      <c r="I6" s="668"/>
      <c r="J6" s="668"/>
      <c r="K6" s="668"/>
      <c r="L6" s="668"/>
      <c r="M6" s="663" t="s">
        <v>318</v>
      </c>
      <c r="N6" s="663"/>
      <c r="O6" s="663"/>
      <c r="P6" s="663"/>
    </row>
    <row r="7" spans="2:16">
      <c r="B7" s="668"/>
      <c r="C7" s="668"/>
      <c r="D7" s="668"/>
      <c r="E7" s="668"/>
      <c r="F7" s="668"/>
      <c r="G7" s="668"/>
      <c r="H7" s="668"/>
      <c r="I7" s="668"/>
      <c r="J7" s="668"/>
      <c r="K7" s="668"/>
      <c r="L7" s="668"/>
      <c r="M7" s="663"/>
      <c r="N7" s="663"/>
      <c r="O7" s="663"/>
      <c r="P7" s="663"/>
    </row>
    <row r="8" spans="2:16">
      <c r="B8" s="275" t="str">
        <f>"SWP from "&amp;IF(ISBLANK(G3),"Debt Fund",G3)</f>
        <v>SWP from Balanced /Equity</v>
      </c>
      <c r="I8" s="275" t="s">
        <v>317</v>
      </c>
      <c r="M8" s="663"/>
      <c r="N8" s="663"/>
      <c r="O8" s="663"/>
      <c r="P8" s="663"/>
    </row>
    <row r="9" spans="2:16" s="272" customFormat="1" ht="30">
      <c r="B9" s="504" t="s">
        <v>32</v>
      </c>
      <c r="C9" s="505" t="s">
        <v>37</v>
      </c>
      <c r="D9" s="506" t="s">
        <v>249</v>
      </c>
      <c r="E9" s="506" t="s">
        <v>250</v>
      </c>
      <c r="F9" s="506" t="s">
        <v>251</v>
      </c>
      <c r="G9" s="507" t="s">
        <v>252</v>
      </c>
      <c r="H9" s="508"/>
      <c r="I9" s="504" t="s">
        <v>32</v>
      </c>
      <c r="J9" s="505" t="s">
        <v>37</v>
      </c>
      <c r="K9" s="506" t="s">
        <v>253</v>
      </c>
      <c r="L9" s="507" t="s">
        <v>252</v>
      </c>
      <c r="M9" s="663"/>
      <c r="N9" s="663"/>
      <c r="O9" s="663"/>
      <c r="P9" s="663"/>
    </row>
    <row r="10" spans="2:16" s="272" customFormat="1" ht="20.100000000000001" customHeight="1">
      <c r="B10" s="276">
        <v>1</v>
      </c>
      <c r="C10" s="375">
        <f>'SWP_CashFlow (3)'!C19</f>
        <v>40000</v>
      </c>
      <c r="D10" s="374">
        <f>'SWP_CashFlow (3)'!J19</f>
        <v>299.75608533465584</v>
      </c>
      <c r="E10" s="278"/>
      <c r="F10" s="279">
        <f>D10+E10</f>
        <v>299.75608533465584</v>
      </c>
      <c r="G10" s="280">
        <f>'SWP_CashFlow (3)'!J20</f>
        <v>7.4939021333663963E-3</v>
      </c>
      <c r="I10" s="276">
        <v>1</v>
      </c>
      <c r="J10" s="279">
        <f>'SWP_CashFlow (3)'!N19</f>
        <v>40000</v>
      </c>
      <c r="K10" s="279">
        <f>'SWP_CashFlow (3)'!O19</f>
        <v>12480</v>
      </c>
      <c r="L10" s="281">
        <f>'SWP_CashFlow (3)'!O20</f>
        <v>0.312</v>
      </c>
      <c r="M10" s="663"/>
      <c r="N10" s="663"/>
      <c r="O10" s="663"/>
      <c r="P10" s="663"/>
    </row>
    <row r="11" spans="2:16" s="272" customFormat="1" ht="20.100000000000001" customHeight="1">
      <c r="B11" s="276">
        <v>2</v>
      </c>
      <c r="C11" s="375">
        <f>'SWP_CashFlow (3)'!C33</f>
        <v>40000</v>
      </c>
      <c r="D11" s="277">
        <f>IF(OR(ISBLANK(G3),G3="Debt Fund"),'SWP_CashFlow (3)'!J33,0)</f>
        <v>0</v>
      </c>
      <c r="E11" s="373">
        <f>IF(G3="Balanced /Equity",'SWP_CashFlow (3)'!J33,0)</f>
        <v>0</v>
      </c>
      <c r="F11" s="279">
        <f t="shared" ref="F11:F14" si="0">D11+E11</f>
        <v>0</v>
      </c>
      <c r="G11" s="280">
        <f>'SWP_CashFlow (3)'!J34</f>
        <v>0</v>
      </c>
      <c r="I11" s="276">
        <v>2</v>
      </c>
      <c r="J11" s="279">
        <f>'SWP_CashFlow (3)'!N33</f>
        <v>40000</v>
      </c>
      <c r="K11" s="279">
        <f>'SWP_CashFlow (3)'!O33</f>
        <v>12480</v>
      </c>
      <c r="L11" s="281">
        <f>'SWP_CashFlow (3)'!O34</f>
        <v>0.312</v>
      </c>
      <c r="M11" s="663"/>
      <c r="N11" s="663"/>
      <c r="O11" s="663"/>
      <c r="P11" s="663"/>
    </row>
    <row r="12" spans="2:16" s="272" customFormat="1" ht="20.100000000000001" customHeight="1">
      <c r="B12" s="276">
        <v>3</v>
      </c>
      <c r="C12" s="375">
        <f>'SWP_CashFlow (3)'!C47</f>
        <v>40000</v>
      </c>
      <c r="D12" s="277">
        <f>IF(OR(ISBLANK(G3),G3="Debt Fund"),'SWP_CashFlow (3)'!J47,0)</f>
        <v>0</v>
      </c>
      <c r="E12" s="373">
        <f>IF(G3="Balanced /Equity",'SWP_CashFlow (3)'!J47,0)</f>
        <v>0</v>
      </c>
      <c r="F12" s="279">
        <f t="shared" si="0"/>
        <v>0</v>
      </c>
      <c r="G12" s="280">
        <f>'SWP_CashFlow (3)'!J48</f>
        <v>0</v>
      </c>
      <c r="I12" s="276">
        <v>3</v>
      </c>
      <c r="J12" s="279">
        <f>'SWP_CashFlow (3)'!N47</f>
        <v>40000</v>
      </c>
      <c r="K12" s="279">
        <f>'SWP_CashFlow (3)'!O47</f>
        <v>12480</v>
      </c>
      <c r="L12" s="281">
        <f>'SWP_CashFlow (3)'!O48</f>
        <v>0.312</v>
      </c>
      <c r="M12" s="663"/>
      <c r="N12" s="663"/>
      <c r="O12" s="663"/>
      <c r="P12" s="663"/>
    </row>
    <row r="13" spans="2:16" s="272" customFormat="1" ht="20.100000000000001" customHeight="1">
      <c r="B13" s="276">
        <v>4</v>
      </c>
      <c r="C13" s="375">
        <f>'SWP_CashFlow (3)'!C61</f>
        <v>40000</v>
      </c>
      <c r="D13" s="278"/>
      <c r="E13" s="374">
        <f>'SWP_CashFlow (3)'!J61</f>
        <v>0</v>
      </c>
      <c r="F13" s="279">
        <f t="shared" si="0"/>
        <v>0</v>
      </c>
      <c r="G13" s="280">
        <f>'SWP_CashFlow (3)'!J62</f>
        <v>0</v>
      </c>
      <c r="I13" s="276">
        <v>4</v>
      </c>
      <c r="J13" s="279">
        <f>'SWP_CashFlow (3)'!N61</f>
        <v>40000</v>
      </c>
      <c r="K13" s="279">
        <f>'SWP_CashFlow (3)'!O61</f>
        <v>12480</v>
      </c>
      <c r="L13" s="281">
        <f>'SWP_CashFlow (3)'!O62</f>
        <v>0.312</v>
      </c>
      <c r="M13" s="663"/>
      <c r="N13" s="663"/>
      <c r="O13" s="663"/>
      <c r="P13" s="663"/>
    </row>
    <row r="14" spans="2:16" s="272" customFormat="1" ht="20.100000000000001" customHeight="1">
      <c r="B14" s="276">
        <v>5</v>
      </c>
      <c r="C14" s="375">
        <f>'SWP_CashFlow (3)'!C75</f>
        <v>40000</v>
      </c>
      <c r="D14" s="278"/>
      <c r="E14" s="374">
        <f>'SWP_CashFlow (3)'!J75</f>
        <v>0</v>
      </c>
      <c r="F14" s="279">
        <f t="shared" si="0"/>
        <v>0</v>
      </c>
      <c r="G14" s="280">
        <f>'SWP_CashFlow (3)'!J76</f>
        <v>0</v>
      </c>
      <c r="I14" s="276">
        <v>5</v>
      </c>
      <c r="J14" s="279">
        <f>'SWP_CashFlow (3)'!N75</f>
        <v>40000</v>
      </c>
      <c r="K14" s="279">
        <f>'SWP_CashFlow (3)'!O75</f>
        <v>12480</v>
      </c>
      <c r="L14" s="281">
        <f>'SWP_CashFlow (3)'!O76</f>
        <v>0.312</v>
      </c>
      <c r="M14" s="663"/>
      <c r="N14" s="663"/>
      <c r="O14" s="663"/>
      <c r="P14" s="663"/>
    </row>
    <row r="15" spans="2:16" s="272" customFormat="1" ht="20.100000000000001" customHeight="1">
      <c r="B15" s="282" t="s">
        <v>254</v>
      </c>
      <c r="C15" s="283">
        <f>SUM(C10:C14)</f>
        <v>200000</v>
      </c>
      <c r="D15" s="284"/>
      <c r="E15" s="284"/>
      <c r="F15" s="285">
        <f>SUM(F10:F14)</f>
        <v>299.75608533465584</v>
      </c>
      <c r="G15" s="286">
        <f>SUM(G10:G14)/5</f>
        <v>1.4987804266732793E-3</v>
      </c>
      <c r="H15" s="287"/>
      <c r="I15" s="282" t="s">
        <v>254</v>
      </c>
      <c r="J15" s="283">
        <f>SUM(J10:J14)</f>
        <v>200000</v>
      </c>
      <c r="K15" s="285">
        <f>SUM(K10:K14)</f>
        <v>62400</v>
      </c>
      <c r="L15" s="286">
        <f>SUM(L10:L14)/5</f>
        <v>0.312</v>
      </c>
      <c r="M15" s="663"/>
      <c r="N15" s="663"/>
      <c r="O15" s="663"/>
      <c r="P15" s="663"/>
    </row>
    <row r="16" spans="2:16">
      <c r="B16" s="288" t="s">
        <v>314</v>
      </c>
      <c r="C16" s="289"/>
      <c r="D16" s="376">
        <f>'SWP_CashFlow (3)'!K74</f>
        <v>550050.89976156258</v>
      </c>
      <c r="E16" s="289"/>
      <c r="F16" s="289"/>
      <c r="G16" s="290"/>
      <c r="I16" s="288" t="s">
        <v>314</v>
      </c>
      <c r="J16" s="289"/>
      <c r="K16" s="376">
        <f>'SWP_CashFlow (3)'!P74</f>
        <v>500000</v>
      </c>
      <c r="L16" s="290"/>
      <c r="M16" s="663"/>
      <c r="N16" s="663"/>
      <c r="O16" s="663"/>
      <c r="P16" s="663"/>
    </row>
  </sheetData>
  <mergeCells count="7">
    <mergeCell ref="M6:P16"/>
    <mergeCell ref="K3:L3"/>
    <mergeCell ref="B1:C2"/>
    <mergeCell ref="G3:I3"/>
    <mergeCell ref="G5:I5"/>
    <mergeCell ref="K5:L5"/>
    <mergeCell ref="B6:L7"/>
  </mergeCells>
  <dataValidations count="2">
    <dataValidation type="list" allowBlank="1" showInputMessage="1" showErrorMessage="1" sqref="C4" xr:uid="{00000000-0002-0000-1000-000000000000}">
      <formula1>"5.20%,20.80%,31.20%"</formula1>
    </dataValidation>
    <dataValidation type="list" allowBlank="1" showInputMessage="1" showErrorMessage="1" sqref="G3:I3" xr:uid="{00000000-0002-0000-1000-000001000000}">
      <formula1>Validation</formula1>
    </dataValidation>
  </dataValidations>
  <pageMargins left="0.7" right="0.7" top="0.75" bottom="0.75" header="0.3" footer="0.3"/>
  <pageSetup paperSize="9" orientation="portrait" verticalDpi="0" r:id="rId1"/>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B1:V76"/>
  <sheetViews>
    <sheetView showGridLines="0" workbookViewId="0">
      <pane ySplit="5" topLeftCell="A6" activePane="bottomLeft" state="frozen"/>
      <selection pane="bottomLeft" activeCell="N4" sqref="N4"/>
    </sheetView>
  </sheetViews>
  <sheetFormatPr defaultColWidth="8.7109375" defaultRowHeight="15"/>
  <cols>
    <col min="1" max="1" width="1.42578125" style="336" customWidth="1"/>
    <col min="2" max="2" width="9.5703125" style="336" bestFit="1" customWidth="1"/>
    <col min="3" max="3" width="12.140625" style="336" bestFit="1" customWidth="1"/>
    <col min="4" max="4" width="7" style="336" bestFit="1" customWidth="1"/>
    <col min="5" max="5" width="11.28515625" style="336" customWidth="1"/>
    <col min="6" max="6" width="14.5703125" style="336" bestFit="1" customWidth="1"/>
    <col min="7" max="7" width="10.85546875" style="336" customWidth="1"/>
    <col min="8" max="9" width="11.5703125" style="336" bestFit="1" customWidth="1"/>
    <col min="10" max="10" width="12.140625" style="336" bestFit="1" customWidth="1"/>
    <col min="11" max="11" width="13" style="336" bestFit="1" customWidth="1"/>
    <col min="12" max="12" width="5" style="336" customWidth="1"/>
    <col min="13" max="13" width="6.5703125" style="336" bestFit="1" customWidth="1"/>
    <col min="14" max="14" width="10.5703125" style="336" bestFit="1" customWidth="1"/>
    <col min="15" max="15" width="11.42578125" style="336" bestFit="1" customWidth="1"/>
    <col min="16" max="16" width="13" style="336" bestFit="1" customWidth="1"/>
    <col min="17" max="17" width="10.5703125" style="336" bestFit="1" customWidth="1"/>
    <col min="18" max="21" width="8.7109375" style="336"/>
    <col min="22" max="22" width="9" style="336" bestFit="1" customWidth="1"/>
    <col min="23" max="16384" width="8.7109375" style="336"/>
  </cols>
  <sheetData>
    <row r="1" spans="2:22">
      <c r="B1" s="335" t="s">
        <v>319</v>
      </c>
      <c r="C1" s="335"/>
      <c r="D1" s="513" t="s">
        <v>378</v>
      </c>
      <c r="E1" s="514"/>
      <c r="F1" s="538">
        <f>'Debt_FD_SWP (3)'!G5</f>
        <v>0.1</v>
      </c>
      <c r="G1" s="669" t="s">
        <v>298</v>
      </c>
      <c r="H1" s="669"/>
      <c r="I1" s="669"/>
      <c r="L1" s="337"/>
      <c r="M1" s="513" t="s">
        <v>381</v>
      </c>
      <c r="N1" s="536"/>
      <c r="O1" s="541">
        <f>'Debt_FD_SWP (3)'!K3</f>
        <v>0.08</v>
      </c>
      <c r="P1"/>
      <c r="Q1" s="339"/>
      <c r="R1" s="339"/>
      <c r="V1" s="340"/>
    </row>
    <row r="2" spans="2:22">
      <c r="B2" s="516" t="s">
        <v>255</v>
      </c>
      <c r="C2" s="537">
        <f>'Debt_FD_SWP (3)'!C3</f>
        <v>500000</v>
      </c>
      <c r="D2" s="670" t="s">
        <v>379</v>
      </c>
      <c r="E2" s="671"/>
      <c r="F2" s="539">
        <f>'Debt_FD_SWP (3)'!K5</f>
        <v>0.08</v>
      </c>
      <c r="G2" s="672" t="str">
        <f>IF(ISNA((INDEX(B7:C74,MATCH(0,C7:C74,0),1)-1)),"Yes!", "No, it will last for "&amp; (INDEX(B7:C74,MATCH(0,C7:C74,0),1)-1)&amp;" months")</f>
        <v>Yes!</v>
      </c>
      <c r="H2" s="672"/>
      <c r="I2" s="672"/>
      <c r="K2" s="341">
        <f>IF(G2="Yes!",60, (INDEX(B7:C74,MATCH(0,C7:C74,0),1)-1))</f>
        <v>60</v>
      </c>
      <c r="L2" s="337"/>
      <c r="M2"/>
      <c r="N2"/>
      <c r="O2"/>
      <c r="P2"/>
      <c r="Q2" s="339"/>
      <c r="R2" s="340"/>
      <c r="V2" s="340"/>
    </row>
    <row r="3" spans="2:22">
      <c r="B3" s="673" t="s">
        <v>304</v>
      </c>
      <c r="C3" s="683" t="str">
        <f>'Debt_FD_SWP (3)'!G3</f>
        <v>Balanced /Equity</v>
      </c>
      <c r="D3" s="670" t="s">
        <v>4</v>
      </c>
      <c r="E3" s="671"/>
      <c r="F3" s="538">
        <f>'Debt_FD_SWP (3)'!C5</f>
        <v>7.0000000000000007E-2</v>
      </c>
      <c r="G3" s="677" t="s">
        <v>305</v>
      </c>
      <c r="H3" s="677"/>
      <c r="I3" s="677"/>
      <c r="K3" s="347"/>
      <c r="L3" s="347"/>
      <c r="M3"/>
      <c r="N3"/>
      <c r="O3"/>
      <c r="P3"/>
      <c r="Q3" s="339"/>
    </row>
    <row r="4" spans="2:22">
      <c r="B4" s="674"/>
      <c r="C4" s="684"/>
      <c r="D4" s="515" t="s">
        <v>380</v>
      </c>
      <c r="E4" s="514"/>
      <c r="F4" s="540">
        <f>'Debt_FD_SWP (3)'!C4</f>
        <v>0.312</v>
      </c>
      <c r="G4" s="678">
        <f>VLOOKUP(K2,B7:K74,10,0)</f>
        <v>550050.89976156258</v>
      </c>
      <c r="H4" s="678"/>
      <c r="I4" s="678"/>
      <c r="K4" s="347"/>
      <c r="L4" s="341">
        <f>IF(F2&gt;F1,0,1)</f>
        <v>1</v>
      </c>
      <c r="M4"/>
      <c r="N4"/>
      <c r="O4"/>
      <c r="P4"/>
    </row>
    <row r="5" spans="2:22" ht="45">
      <c r="B5" s="349" t="s">
        <v>256</v>
      </c>
      <c r="C5" s="350" t="s">
        <v>257</v>
      </c>
      <c r="D5" s="351" t="s">
        <v>258</v>
      </c>
      <c r="E5" s="352" t="s">
        <v>259</v>
      </c>
      <c r="F5" s="349" t="s">
        <v>260</v>
      </c>
      <c r="G5" s="349" t="s">
        <v>261</v>
      </c>
      <c r="H5" s="349" t="s">
        <v>262</v>
      </c>
      <c r="I5" s="350" t="s">
        <v>263</v>
      </c>
      <c r="J5" s="350" t="s">
        <v>264</v>
      </c>
      <c r="K5" s="353" t="s">
        <v>265</v>
      </c>
      <c r="L5" s="354"/>
      <c r="M5" s="349" t="s">
        <v>256</v>
      </c>
      <c r="N5" s="350" t="s">
        <v>257</v>
      </c>
      <c r="O5" s="350" t="s">
        <v>264</v>
      </c>
      <c r="P5" s="353" t="s">
        <v>265</v>
      </c>
    </row>
    <row r="6" spans="2:22">
      <c r="B6" s="355">
        <v>0</v>
      </c>
      <c r="C6" s="356">
        <f>$C$2*$F$2/12</f>
        <v>3333.3333333333335</v>
      </c>
      <c r="D6" s="349"/>
      <c r="E6" s="350"/>
      <c r="F6" s="357">
        <f>C2/10</f>
        <v>50000</v>
      </c>
      <c r="G6" s="349"/>
      <c r="H6" s="349"/>
      <c r="I6" s="349"/>
      <c r="J6" s="349"/>
      <c r="K6" s="353"/>
      <c r="L6" s="358"/>
      <c r="M6" s="355">
        <v>0</v>
      </c>
      <c r="N6" s="350"/>
      <c r="O6" s="359"/>
      <c r="P6" s="353"/>
    </row>
    <row r="7" spans="2:22">
      <c r="B7" s="360">
        <v>1</v>
      </c>
      <c r="C7" s="361">
        <f t="shared" ref="C7:C18" si="0">IF(C6=0,                   0, IF((C6/D7)&gt;F6,                                                         IF(F6=0, 0, F6*D7),                                                                               $C$2*$F$2/12))</f>
        <v>3333.3333333333335</v>
      </c>
      <c r="D7" s="362">
        <f>10*(1+(NOMINAL($F$1,12)/12))</f>
        <v>10.079741404289038</v>
      </c>
      <c r="E7" s="362">
        <f>IF((C7/D7)&gt;F6,F6,(C7/D7))</f>
        <v>330.69631448233031</v>
      </c>
      <c r="F7" s="357">
        <f t="shared" ref="F7:F18" si="1">F6-E7</f>
        <v>49669.303685517669</v>
      </c>
      <c r="G7" s="362">
        <f>E7*(D7-10)</f>
        <v>26.370188510030381</v>
      </c>
      <c r="H7" s="362"/>
      <c r="I7" s="362"/>
      <c r="J7" s="357">
        <f>IF($C$3="Balanced /Equity",G7*15%,G7*$F$4)</f>
        <v>3.9555282765045572</v>
      </c>
      <c r="K7" s="361">
        <f t="shared" ref="K7:K18" si="2">D7*F7</f>
        <v>500653.73688111856</v>
      </c>
      <c r="L7" s="363"/>
      <c r="M7" s="360">
        <v>1</v>
      </c>
      <c r="N7" s="361">
        <f>$C$2*$O$1/12</f>
        <v>3333.3333333333335</v>
      </c>
      <c r="O7" s="364">
        <f>N7*$F$4</f>
        <v>1040</v>
      </c>
      <c r="P7" s="361">
        <f>$C$2</f>
        <v>500000</v>
      </c>
    </row>
    <row r="8" spans="2:22">
      <c r="B8" s="360">
        <v>2</v>
      </c>
      <c r="C8" s="361">
        <f t="shared" si="0"/>
        <v>3333.3333333333335</v>
      </c>
      <c r="D8" s="362">
        <f t="shared" ref="D8:D18" si="3">D7*(1+(NOMINAL($F$1,12)/12))</f>
        <v>10.160118677733875</v>
      </c>
      <c r="E8" s="362">
        <f t="shared" ref="E8:E18" si="4">IF((C8/D8)&gt;F7,F7,(C8/D8))</f>
        <v>328.08015723658889</v>
      </c>
      <c r="F8" s="366">
        <f t="shared" si="1"/>
        <v>49341.22352828108</v>
      </c>
      <c r="G8" s="362">
        <f t="shared" ref="G8:G18" si="5">E8*(D8-10)</f>
        <v>52.531760967444413</v>
      </c>
      <c r="H8" s="362"/>
      <c r="I8" s="362"/>
      <c r="J8" s="357">
        <f t="shared" ref="J8:J18" si="6">IF($C$3="Balanced /Equity",G8*15%,G8*$F$4)</f>
        <v>7.8797641451166616</v>
      </c>
      <c r="K8" s="361">
        <f t="shared" si="2"/>
        <v>501312.68675193074</v>
      </c>
      <c r="L8" s="363"/>
      <c r="M8" s="360">
        <v>2</v>
      </c>
      <c r="N8" s="361">
        <f t="shared" ref="N8:N18" si="7">$C$2*$O$1/12</f>
        <v>3333.3333333333335</v>
      </c>
      <c r="O8" s="364">
        <f t="shared" ref="O8:O18" si="8">N8*$F$4</f>
        <v>1040</v>
      </c>
      <c r="P8" s="361">
        <f t="shared" ref="P8:P18" si="9">$C$2</f>
        <v>500000</v>
      </c>
    </row>
    <row r="9" spans="2:22">
      <c r="B9" s="355">
        <v>3</v>
      </c>
      <c r="C9" s="361">
        <f t="shared" si="0"/>
        <v>3333.3333333333335</v>
      </c>
      <c r="D9" s="362">
        <f t="shared" si="3"/>
        <v>10.241136890844453</v>
      </c>
      <c r="E9" s="362">
        <f t="shared" si="4"/>
        <v>325.48469655877011</v>
      </c>
      <c r="F9" s="366">
        <f t="shared" si="1"/>
        <v>49015.738831722309</v>
      </c>
      <c r="G9" s="362">
        <f t="shared" si="5"/>
        <v>78.486367745632165</v>
      </c>
      <c r="H9" s="362"/>
      <c r="I9" s="362"/>
      <c r="J9" s="357">
        <f t="shared" si="6"/>
        <v>11.772955161844825</v>
      </c>
      <c r="K9" s="361">
        <f t="shared" si="2"/>
        <v>501976.89118154836</v>
      </c>
      <c r="L9" s="363"/>
      <c r="M9" s="355">
        <v>3</v>
      </c>
      <c r="N9" s="361">
        <f t="shared" si="7"/>
        <v>3333.3333333333335</v>
      </c>
      <c r="O9" s="364">
        <f t="shared" si="8"/>
        <v>1040</v>
      </c>
      <c r="P9" s="361">
        <f t="shared" si="9"/>
        <v>500000</v>
      </c>
    </row>
    <row r="10" spans="2:22">
      <c r="B10" s="360">
        <v>4</v>
      </c>
      <c r="C10" s="361">
        <f t="shared" si="0"/>
        <v>3333.3333333333335</v>
      </c>
      <c r="D10" s="362">
        <f t="shared" si="3"/>
        <v>10.322801154563674</v>
      </c>
      <c r="E10" s="362">
        <f t="shared" si="4"/>
        <v>322.90976871715469</v>
      </c>
      <c r="F10" s="366">
        <f t="shared" si="1"/>
        <v>48692.829063005156</v>
      </c>
      <c r="G10" s="362">
        <f t="shared" si="5"/>
        <v>104.23564616178646</v>
      </c>
      <c r="H10" s="362"/>
      <c r="I10" s="362"/>
      <c r="J10" s="357">
        <f t="shared" si="6"/>
        <v>15.635346924267969</v>
      </c>
      <c r="K10" s="361">
        <f t="shared" si="2"/>
        <v>502646.39207056124</v>
      </c>
      <c r="L10" s="363"/>
      <c r="M10" s="360">
        <v>4</v>
      </c>
      <c r="N10" s="361">
        <f t="shared" si="7"/>
        <v>3333.3333333333335</v>
      </c>
      <c r="O10" s="364">
        <f t="shared" si="8"/>
        <v>1040</v>
      </c>
      <c r="P10" s="361">
        <f t="shared" si="9"/>
        <v>500000</v>
      </c>
    </row>
    <row r="11" spans="2:22">
      <c r="B11" s="360">
        <v>5</v>
      </c>
      <c r="C11" s="361">
        <f t="shared" si="0"/>
        <v>3333.3333333333335</v>
      </c>
      <c r="D11" s="362">
        <f t="shared" si="3"/>
        <v>10.405116620589814</v>
      </c>
      <c r="E11" s="362">
        <f t="shared" si="4"/>
        <v>320.35521127531422</v>
      </c>
      <c r="F11" s="366">
        <f t="shared" si="1"/>
        <v>48372.473851729839</v>
      </c>
      <c r="G11" s="362">
        <f t="shared" si="5"/>
        <v>129.7812205801911</v>
      </c>
      <c r="H11" s="362"/>
      <c r="I11" s="362"/>
      <c r="J11" s="357">
        <f t="shared" si="6"/>
        <v>19.467183087028666</v>
      </c>
      <c r="K11" s="361">
        <f t="shared" si="2"/>
        <v>503321.23165368033</v>
      </c>
      <c r="L11" s="363"/>
      <c r="M11" s="360">
        <v>5</v>
      </c>
      <c r="N11" s="361">
        <f t="shared" si="7"/>
        <v>3333.3333333333335</v>
      </c>
      <c r="O11" s="364">
        <f t="shared" si="8"/>
        <v>1040</v>
      </c>
      <c r="P11" s="361">
        <f t="shared" si="9"/>
        <v>500000</v>
      </c>
    </row>
    <row r="12" spans="2:22">
      <c r="B12" s="355">
        <v>6</v>
      </c>
      <c r="C12" s="361">
        <f t="shared" si="0"/>
        <v>3333.3333333333335</v>
      </c>
      <c r="D12" s="362">
        <f t="shared" si="3"/>
        <v>10.488088481701517</v>
      </c>
      <c r="E12" s="362">
        <f t="shared" si="4"/>
        <v>317.82086308186405</v>
      </c>
      <c r="F12" s="366">
        <f t="shared" si="1"/>
        <v>48054.652988647977</v>
      </c>
      <c r="G12" s="362">
        <f t="shared" si="5"/>
        <v>155.12470251469281</v>
      </c>
      <c r="H12" s="362"/>
      <c r="I12" s="362"/>
      <c r="J12" s="357">
        <f t="shared" si="6"/>
        <v>23.268705377203922</v>
      </c>
      <c r="K12" s="361">
        <f t="shared" si="2"/>
        <v>504001.45250240224</v>
      </c>
      <c r="L12" s="363"/>
      <c r="M12" s="355">
        <v>6</v>
      </c>
      <c r="N12" s="361">
        <f t="shared" si="7"/>
        <v>3333.3333333333335</v>
      </c>
      <c r="O12" s="364">
        <f t="shared" si="8"/>
        <v>1040</v>
      </c>
      <c r="P12" s="361">
        <f t="shared" si="9"/>
        <v>500000</v>
      </c>
    </row>
    <row r="13" spans="2:22">
      <c r="B13" s="360">
        <v>7</v>
      </c>
      <c r="C13" s="361">
        <f t="shared" si="0"/>
        <v>3333.3333333333335</v>
      </c>
      <c r="D13" s="362">
        <f t="shared" si="3"/>
        <v>10.571721972085372</v>
      </c>
      <c r="E13" s="362">
        <f t="shared" si="4"/>
        <v>315.30656426029731</v>
      </c>
      <c r="F13" s="366">
        <f t="shared" si="1"/>
        <v>47739.346424387681</v>
      </c>
      <c r="G13" s="362">
        <f t="shared" si="5"/>
        <v>180.26769073036036</v>
      </c>
      <c r="H13" s="362"/>
      <c r="I13" s="362"/>
      <c r="J13" s="357">
        <f t="shared" si="6"/>
        <v>27.040153609554054</v>
      </c>
      <c r="K13" s="361">
        <f t="shared" si="2"/>
        <v>504687.09752769448</v>
      </c>
      <c r="L13" s="363"/>
      <c r="M13" s="360">
        <v>7</v>
      </c>
      <c r="N13" s="361">
        <f t="shared" si="7"/>
        <v>3333.3333333333335</v>
      </c>
      <c r="O13" s="364">
        <f t="shared" si="8"/>
        <v>1040</v>
      </c>
      <c r="P13" s="361">
        <f t="shared" si="9"/>
        <v>500000</v>
      </c>
    </row>
    <row r="14" spans="2:22">
      <c r="B14" s="360">
        <v>8</v>
      </c>
      <c r="C14" s="361">
        <f t="shared" si="0"/>
        <v>3333.3333333333335</v>
      </c>
      <c r="D14" s="362">
        <f t="shared" si="3"/>
        <v>10.656022367666109</v>
      </c>
      <c r="E14" s="362">
        <f t="shared" si="4"/>
        <v>312.81215619889912</v>
      </c>
      <c r="F14" s="366">
        <f t="shared" si="1"/>
        <v>47426.534268188785</v>
      </c>
      <c r="G14" s="362">
        <f t="shared" si="5"/>
        <v>205.21177134434259</v>
      </c>
      <c r="H14" s="362"/>
      <c r="I14" s="362"/>
      <c r="J14" s="357">
        <f t="shared" si="6"/>
        <v>30.781765701651388</v>
      </c>
      <c r="K14" s="361">
        <f t="shared" si="2"/>
        <v>505378.20998270292</v>
      </c>
      <c r="L14" s="363"/>
      <c r="M14" s="360">
        <v>8</v>
      </c>
      <c r="N14" s="361">
        <f t="shared" si="7"/>
        <v>3333.3333333333335</v>
      </c>
      <c r="O14" s="364">
        <f t="shared" si="8"/>
        <v>1040</v>
      </c>
      <c r="P14" s="361">
        <f t="shared" si="9"/>
        <v>500000</v>
      </c>
    </row>
    <row r="15" spans="2:22">
      <c r="B15" s="355">
        <v>9</v>
      </c>
      <c r="C15" s="361">
        <f t="shared" si="0"/>
        <v>3333.3333333333335</v>
      </c>
      <c r="D15" s="362">
        <f t="shared" si="3"/>
        <v>10.740994986439418</v>
      </c>
      <c r="E15" s="362">
        <f t="shared" si="4"/>
        <v>310.3374815407409</v>
      </c>
      <c r="F15" s="366">
        <f t="shared" si="1"/>
        <v>47116.196786648041</v>
      </c>
      <c r="G15" s="362">
        <f t="shared" si="5"/>
        <v>229.95851792592438</v>
      </c>
      <c r="H15" s="362"/>
      <c r="I15" s="362"/>
      <c r="J15" s="357">
        <f t="shared" si="6"/>
        <v>34.493777688888656</v>
      </c>
      <c r="K15" s="361">
        <f t="shared" si="2"/>
        <v>506074.83346547961</v>
      </c>
      <c r="L15" s="363"/>
      <c r="M15" s="355">
        <v>9</v>
      </c>
      <c r="N15" s="361">
        <f t="shared" si="7"/>
        <v>3333.3333333333335</v>
      </c>
      <c r="O15" s="364">
        <f t="shared" si="8"/>
        <v>1040</v>
      </c>
      <c r="P15" s="361">
        <f t="shared" si="9"/>
        <v>500000</v>
      </c>
    </row>
    <row r="16" spans="2:22">
      <c r="B16" s="360">
        <v>10</v>
      </c>
      <c r="C16" s="361">
        <f t="shared" si="0"/>
        <v>3333.3333333333335</v>
      </c>
      <c r="D16" s="362">
        <f t="shared" si="3"/>
        <v>10.826645188807436</v>
      </c>
      <c r="E16" s="362">
        <f t="shared" si="4"/>
        <v>307.88238417375374</v>
      </c>
      <c r="F16" s="366">
        <f t="shared" si="1"/>
        <v>46808.314402474287</v>
      </c>
      <c r="G16" s="362">
        <f t="shared" si="5"/>
        <v>254.50949159579633</v>
      </c>
      <c r="H16" s="362"/>
      <c r="I16" s="362"/>
      <c r="J16" s="357">
        <f t="shared" si="6"/>
        <v>38.176423739369447</v>
      </c>
      <c r="K16" s="361">
        <f t="shared" si="2"/>
        <v>506777.01192173408</v>
      </c>
      <c r="L16" s="363"/>
      <c r="M16" s="360">
        <v>10</v>
      </c>
      <c r="N16" s="361">
        <f t="shared" si="7"/>
        <v>3333.3333333333335</v>
      </c>
      <c r="O16" s="364">
        <f t="shared" si="8"/>
        <v>1040</v>
      </c>
      <c r="P16" s="361">
        <f t="shared" si="9"/>
        <v>500000</v>
      </c>
    </row>
    <row r="17" spans="2:16">
      <c r="B17" s="360">
        <v>11</v>
      </c>
      <c r="C17" s="361">
        <f t="shared" si="0"/>
        <v>3333.3333333333335</v>
      </c>
      <c r="D17" s="362">
        <f t="shared" si="3"/>
        <v>10.912978377916902</v>
      </c>
      <c r="E17" s="362">
        <f t="shared" si="4"/>
        <v>305.44670922087988</v>
      </c>
      <c r="F17" s="366">
        <f t="shared" si="1"/>
        <v>46502.867693253407</v>
      </c>
      <c r="G17" s="362">
        <f t="shared" si="5"/>
        <v>278.86624112453455</v>
      </c>
      <c r="H17" s="362"/>
      <c r="I17" s="362"/>
      <c r="J17" s="357">
        <f t="shared" si="6"/>
        <v>41.829936168680184</v>
      </c>
      <c r="K17" s="361">
        <f t="shared" si="2"/>
        <v>507484.78964760486</v>
      </c>
      <c r="L17" s="363"/>
      <c r="M17" s="360">
        <v>11</v>
      </c>
      <c r="N17" s="361">
        <f t="shared" si="7"/>
        <v>3333.3333333333335</v>
      </c>
      <c r="O17" s="364">
        <f t="shared" si="8"/>
        <v>1040</v>
      </c>
      <c r="P17" s="361">
        <f t="shared" si="9"/>
        <v>500000</v>
      </c>
    </row>
    <row r="18" spans="2:16">
      <c r="B18" s="355">
        <v>12</v>
      </c>
      <c r="C18" s="361">
        <f t="shared" si="0"/>
        <v>3333.3333333333335</v>
      </c>
      <c r="D18" s="362">
        <f t="shared" si="3"/>
        <v>11.000000000000002</v>
      </c>
      <c r="E18" s="362">
        <f t="shared" si="4"/>
        <v>303.030303030303</v>
      </c>
      <c r="F18" s="367">
        <f t="shared" si="1"/>
        <v>46199.837390223103</v>
      </c>
      <c r="G18" s="368">
        <f t="shared" si="5"/>
        <v>303.03030303030351</v>
      </c>
      <c r="H18" s="368"/>
      <c r="I18" s="368"/>
      <c r="J18" s="357">
        <f t="shared" si="6"/>
        <v>45.454545454545524</v>
      </c>
      <c r="K18" s="369">
        <f t="shared" si="2"/>
        <v>508198.21129245422</v>
      </c>
      <c r="L18" s="363"/>
      <c r="M18" s="355">
        <v>12</v>
      </c>
      <c r="N18" s="361">
        <f t="shared" si="7"/>
        <v>3333.3333333333335</v>
      </c>
      <c r="O18" s="364">
        <f t="shared" si="8"/>
        <v>1040</v>
      </c>
      <c r="P18" s="361">
        <f t="shared" si="9"/>
        <v>500000</v>
      </c>
    </row>
    <row r="19" spans="2:16">
      <c r="B19" s="523" t="s">
        <v>312</v>
      </c>
      <c r="C19" s="524">
        <f>SUM(C7:C18)</f>
        <v>40000</v>
      </c>
      <c r="D19" s="525"/>
      <c r="E19" s="528"/>
      <c r="F19" s="527"/>
      <c r="G19" s="528"/>
      <c r="H19" s="528"/>
      <c r="I19" s="528"/>
      <c r="J19" s="532">
        <f>SUM(J7:J18)</f>
        <v>299.75608533465584</v>
      </c>
      <c r="K19" s="533"/>
      <c r="L19" s="370"/>
      <c r="M19" s="523" t="s">
        <v>312</v>
      </c>
      <c r="N19" s="524">
        <f>SUM(N7:N18)</f>
        <v>40000</v>
      </c>
      <c r="O19" s="529">
        <f>SUM(O7:O18)</f>
        <v>12480</v>
      </c>
      <c r="P19" s="532"/>
    </row>
    <row r="20" spans="2:16">
      <c r="B20" s="523" t="s">
        <v>313</v>
      </c>
      <c r="C20" s="524">
        <f>C19-J19</f>
        <v>39700.243914665341</v>
      </c>
      <c r="D20" s="530"/>
      <c r="E20" s="530"/>
      <c r="F20" s="530"/>
      <c r="G20" s="530"/>
      <c r="H20" s="530"/>
      <c r="I20" s="530"/>
      <c r="J20" s="534">
        <f>IFERROR(J19/C19,0)</f>
        <v>7.4939021333663963E-3</v>
      </c>
      <c r="K20" s="535"/>
      <c r="L20" s="371"/>
      <c r="M20" s="523" t="s">
        <v>313</v>
      </c>
      <c r="N20" s="524">
        <f>N19-O19</f>
        <v>27520</v>
      </c>
      <c r="O20" s="531">
        <f>IFERROR(O19/N19, 0)</f>
        <v>0.312</v>
      </c>
      <c r="P20" s="534"/>
    </row>
    <row r="21" spans="2:16">
      <c r="B21" s="355">
        <v>13</v>
      </c>
      <c r="C21" s="361">
        <f>IF(C18=0,                   0, IF((C18/D21)&gt;F18,                                                         IF(F18=0, 0, F18*D21),                                                                               $C$2*$F$2/12))</f>
        <v>3333.3333333333335</v>
      </c>
      <c r="D21" s="362">
        <f>D18*(1+(NOMINAL($F$1,12)/12))</f>
        <v>11.087715544717943</v>
      </c>
      <c r="E21" s="362">
        <f>IF((C21/D21)&gt;F18,F18,(C21/D21))</f>
        <v>300.63301316575479</v>
      </c>
      <c r="F21" s="367">
        <f>F18-E21</f>
        <v>45899.204377057351</v>
      </c>
      <c r="G21" s="362">
        <f>IF($C$3="Debt Fund", E21*(D21-10),0)</f>
        <v>0</v>
      </c>
      <c r="H21" s="362">
        <f>IF($C$3="Balanced /Equity", E21*(D21-10),0)</f>
        <v>327.00320167578548</v>
      </c>
      <c r="I21" s="359"/>
      <c r="J21" s="357">
        <f>IF($C$3="Balanced /Equity",0,G21*$F$4)</f>
        <v>0</v>
      </c>
      <c r="K21" s="361">
        <f t="shared" ref="K21:K32" si="10">D21*F21</f>
        <v>508917.32186168461</v>
      </c>
      <c r="M21" s="355">
        <v>13</v>
      </c>
      <c r="N21" s="361">
        <f t="shared" ref="N21:N32" si="11">$C$2*$O$1/12</f>
        <v>3333.3333333333335</v>
      </c>
      <c r="O21" s="364">
        <f t="shared" ref="O21:O32" si="12">N21*$F$4</f>
        <v>1040</v>
      </c>
      <c r="P21" s="361">
        <f t="shared" ref="P21:P32" si="13">$C$2</f>
        <v>500000</v>
      </c>
    </row>
    <row r="22" spans="2:16">
      <c r="B22" s="355">
        <v>14</v>
      </c>
      <c r="C22" s="361">
        <f t="shared" ref="C22:C32" si="14">IF(C21=0,                   0, IF((C21/D22)&gt;F21,                                                         IF(F21=0, 0, F21*D22),                                                                               $C$2*$F$2/12))</f>
        <v>3333.3333333333335</v>
      </c>
      <c r="D22" s="362">
        <f t="shared" ref="D22:D32" si="15">D21*(1+(NOMINAL($F$1,12)/12))</f>
        <v>11.176130545507263</v>
      </c>
      <c r="E22" s="362">
        <f t="shared" ref="E22:E32" si="16">IF((C22/D22)&gt;F21,F21,(C22/D22))</f>
        <v>298.25468839689898</v>
      </c>
      <c r="F22" s="367">
        <f>F21-E22</f>
        <v>45600.949688660454</v>
      </c>
      <c r="G22" s="362">
        <f t="shared" ref="G22:G32" si="17">IF($C$3="Debt Fund", E22*(D22-10),0)</f>
        <v>0</v>
      </c>
      <c r="H22" s="362">
        <f t="shared" ref="H22:H32" si="18">IF($C$3="Balanced /Equity", E22*(D22-10),0)</f>
        <v>350.78644936434358</v>
      </c>
      <c r="I22" s="359"/>
      <c r="J22" s="357">
        <f t="shared" ref="J22:J32" si="19">IF($C$3="Balanced /Equity",0,G22*$F$4)</f>
        <v>0</v>
      </c>
      <c r="K22" s="361">
        <f t="shared" si="10"/>
        <v>509642.16671957803</v>
      </c>
      <c r="M22" s="355">
        <v>14</v>
      </c>
      <c r="N22" s="361">
        <f t="shared" si="11"/>
        <v>3333.3333333333335</v>
      </c>
      <c r="O22" s="364">
        <f t="shared" si="12"/>
        <v>1040</v>
      </c>
      <c r="P22" s="361">
        <f t="shared" si="13"/>
        <v>500000</v>
      </c>
    </row>
    <row r="23" spans="2:16">
      <c r="B23" s="355">
        <v>15</v>
      </c>
      <c r="C23" s="361">
        <f t="shared" si="14"/>
        <v>3333.3333333333335</v>
      </c>
      <c r="D23" s="362">
        <f t="shared" si="15"/>
        <v>11.2652505799289</v>
      </c>
      <c r="E23" s="362">
        <f t="shared" si="16"/>
        <v>295.89517868979101</v>
      </c>
      <c r="F23" s="367">
        <f t="shared" ref="F23:F32" si="20">F22-E23</f>
        <v>45305.054509970665</v>
      </c>
      <c r="G23" s="362">
        <f t="shared" si="17"/>
        <v>0</v>
      </c>
      <c r="H23" s="362">
        <f t="shared" si="18"/>
        <v>374.38154643542345</v>
      </c>
      <c r="I23" s="359"/>
      <c r="J23" s="357">
        <f t="shared" si="19"/>
        <v>0</v>
      </c>
      <c r="K23" s="361">
        <f t="shared" si="10"/>
        <v>510372.79159215745</v>
      </c>
      <c r="M23" s="355">
        <v>15</v>
      </c>
      <c r="N23" s="361">
        <f t="shared" si="11"/>
        <v>3333.3333333333335</v>
      </c>
      <c r="O23" s="364">
        <f t="shared" si="12"/>
        <v>1040</v>
      </c>
      <c r="P23" s="361">
        <f t="shared" si="13"/>
        <v>500000</v>
      </c>
    </row>
    <row r="24" spans="2:16">
      <c r="B24" s="355">
        <v>16</v>
      </c>
      <c r="C24" s="361">
        <f t="shared" si="14"/>
        <v>3333.3333333333335</v>
      </c>
      <c r="D24" s="362">
        <f t="shared" si="15"/>
        <v>11.355081270020042</v>
      </c>
      <c r="E24" s="362">
        <f t="shared" si="16"/>
        <v>293.55433519741337</v>
      </c>
      <c r="F24" s="367">
        <f t="shared" si="20"/>
        <v>45011.500174773253</v>
      </c>
      <c r="G24" s="362">
        <f t="shared" si="17"/>
        <v>0</v>
      </c>
      <c r="H24" s="362">
        <f t="shared" si="18"/>
        <v>397.78998135920006</v>
      </c>
      <c r="I24" s="359"/>
      <c r="J24" s="357">
        <f t="shared" si="19"/>
        <v>0</v>
      </c>
      <c r="K24" s="361">
        <f t="shared" si="10"/>
        <v>511109.2425700716</v>
      </c>
      <c r="M24" s="355">
        <v>16</v>
      </c>
      <c r="N24" s="361">
        <f t="shared" si="11"/>
        <v>3333.3333333333335</v>
      </c>
      <c r="O24" s="364">
        <f t="shared" si="12"/>
        <v>1040</v>
      </c>
      <c r="P24" s="361">
        <f t="shared" si="13"/>
        <v>500000</v>
      </c>
    </row>
    <row r="25" spans="2:16">
      <c r="B25" s="355">
        <v>17</v>
      </c>
      <c r="C25" s="361">
        <f t="shared" si="14"/>
        <v>3333.3333333333335</v>
      </c>
      <c r="D25" s="362">
        <f t="shared" si="15"/>
        <v>11.445628282648796</v>
      </c>
      <c r="E25" s="362">
        <f t="shared" si="16"/>
        <v>291.23201025028567</v>
      </c>
      <c r="F25" s="367">
        <f t="shared" si="20"/>
        <v>44720.268164522968</v>
      </c>
      <c r="G25" s="362">
        <f t="shared" si="17"/>
        <v>0</v>
      </c>
      <c r="H25" s="362">
        <f t="shared" si="18"/>
        <v>421.01323083047703</v>
      </c>
      <c r="I25" s="359"/>
      <c r="J25" s="357">
        <f t="shared" si="19"/>
        <v>0</v>
      </c>
      <c r="K25" s="361">
        <f t="shared" si="10"/>
        <v>511851.56611150265</v>
      </c>
      <c r="M25" s="355">
        <v>17</v>
      </c>
      <c r="N25" s="361">
        <f t="shared" si="11"/>
        <v>3333.3333333333335</v>
      </c>
      <c r="O25" s="364">
        <f t="shared" si="12"/>
        <v>1040</v>
      </c>
      <c r="P25" s="361">
        <f t="shared" si="13"/>
        <v>500000</v>
      </c>
    </row>
    <row r="26" spans="2:16">
      <c r="B26" s="355">
        <v>18</v>
      </c>
      <c r="C26" s="361">
        <f t="shared" si="14"/>
        <v>3333.3333333333335</v>
      </c>
      <c r="D26" s="362">
        <f t="shared" si="15"/>
        <v>11.536897329871671</v>
      </c>
      <c r="E26" s="362">
        <f t="shared" si="16"/>
        <v>288.92805734714909</v>
      </c>
      <c r="F26" s="367">
        <f t="shared" si="20"/>
        <v>44431.34010717582</v>
      </c>
      <c r="G26" s="362">
        <f t="shared" si="17"/>
        <v>0</v>
      </c>
      <c r="H26" s="362">
        <f t="shared" si="18"/>
        <v>444.0527598618425</v>
      </c>
      <c r="I26" s="359"/>
      <c r="J26" s="357">
        <f t="shared" si="19"/>
        <v>0</v>
      </c>
      <c r="K26" s="361">
        <f t="shared" si="10"/>
        <v>512599.8090450968</v>
      </c>
      <c r="M26" s="355">
        <v>18</v>
      </c>
      <c r="N26" s="361">
        <f t="shared" si="11"/>
        <v>3333.3333333333335</v>
      </c>
      <c r="O26" s="364">
        <f t="shared" si="12"/>
        <v>1040</v>
      </c>
      <c r="P26" s="361">
        <f t="shared" si="13"/>
        <v>500000</v>
      </c>
    </row>
    <row r="27" spans="2:16">
      <c r="B27" s="355">
        <v>19</v>
      </c>
      <c r="C27" s="361">
        <f t="shared" si="14"/>
        <v>3333.3333333333335</v>
      </c>
      <c r="D27" s="362">
        <f t="shared" si="15"/>
        <v>11.628894169293913</v>
      </c>
      <c r="E27" s="362">
        <f t="shared" si="16"/>
        <v>286.64233114572477</v>
      </c>
      <c r="F27" s="367">
        <f t="shared" si="20"/>
        <v>44144.697776030094</v>
      </c>
      <c r="G27" s="362">
        <f t="shared" si="17"/>
        <v>0</v>
      </c>
      <c r="H27" s="362">
        <f t="shared" si="18"/>
        <v>466.91002187608603</v>
      </c>
      <c r="I27" s="359"/>
      <c r="J27" s="357">
        <f t="shared" si="19"/>
        <v>0</v>
      </c>
      <c r="K27" s="361">
        <f t="shared" si="10"/>
        <v>513354.01857291831</v>
      </c>
      <c r="M27" s="355">
        <v>19</v>
      </c>
      <c r="N27" s="361">
        <f t="shared" si="11"/>
        <v>3333.3333333333335</v>
      </c>
      <c r="O27" s="364">
        <f t="shared" si="12"/>
        <v>1040</v>
      </c>
      <c r="P27" s="361">
        <f t="shared" si="13"/>
        <v>500000</v>
      </c>
    </row>
    <row r="28" spans="2:16">
      <c r="B28" s="355">
        <v>20</v>
      </c>
      <c r="C28" s="361">
        <f t="shared" si="14"/>
        <v>3333.3333333333335</v>
      </c>
      <c r="D28" s="362">
        <f t="shared" si="15"/>
        <v>11.721624604432723</v>
      </c>
      <c r="E28" s="362">
        <f t="shared" si="16"/>
        <v>284.37468745354454</v>
      </c>
      <c r="F28" s="367">
        <f t="shared" si="20"/>
        <v>43860.323088576552</v>
      </c>
      <c r="G28" s="362">
        <f t="shared" si="17"/>
        <v>0</v>
      </c>
      <c r="H28" s="362">
        <f t="shared" si="18"/>
        <v>489.58645879788781</v>
      </c>
      <c r="I28" s="359"/>
      <c r="J28" s="357">
        <f t="shared" si="19"/>
        <v>0</v>
      </c>
      <c r="K28" s="361">
        <f t="shared" si="10"/>
        <v>514114.24227342755</v>
      </c>
      <c r="M28" s="355">
        <v>20</v>
      </c>
      <c r="N28" s="361">
        <f t="shared" si="11"/>
        <v>3333.3333333333335</v>
      </c>
      <c r="O28" s="364">
        <f t="shared" si="12"/>
        <v>1040</v>
      </c>
      <c r="P28" s="361">
        <f t="shared" si="13"/>
        <v>500000</v>
      </c>
    </row>
    <row r="29" spans="2:16">
      <c r="B29" s="355">
        <v>21</v>
      </c>
      <c r="C29" s="361">
        <f t="shared" si="14"/>
        <v>3333.3333333333335</v>
      </c>
      <c r="D29" s="362">
        <f t="shared" si="15"/>
        <v>11.815094485083362</v>
      </c>
      <c r="E29" s="362">
        <f t="shared" si="16"/>
        <v>282.12498321885533</v>
      </c>
      <c r="F29" s="367">
        <f t="shared" si="20"/>
        <v>43578.198105357696</v>
      </c>
      <c r="G29" s="362">
        <f t="shared" si="17"/>
        <v>0</v>
      </c>
      <c r="H29" s="362">
        <f t="shared" si="18"/>
        <v>512.08350114478037</v>
      </c>
      <c r="I29" s="359"/>
      <c r="J29" s="357">
        <f t="shared" si="19"/>
        <v>0</v>
      </c>
      <c r="K29" s="361">
        <f t="shared" si="10"/>
        <v>514880.52810448193</v>
      </c>
      <c r="M29" s="355">
        <v>21</v>
      </c>
      <c r="N29" s="361">
        <f t="shared" si="11"/>
        <v>3333.3333333333335</v>
      </c>
      <c r="O29" s="364">
        <f t="shared" si="12"/>
        <v>1040</v>
      </c>
      <c r="P29" s="361">
        <f t="shared" si="13"/>
        <v>500000</v>
      </c>
    </row>
    <row r="30" spans="2:16">
      <c r="B30" s="355">
        <v>22</v>
      </c>
      <c r="C30" s="361">
        <f t="shared" si="14"/>
        <v>3333.3333333333335</v>
      </c>
      <c r="D30" s="362">
        <f t="shared" si="15"/>
        <v>11.909309707688184</v>
      </c>
      <c r="E30" s="362">
        <f t="shared" si="16"/>
        <v>279.8930765215942</v>
      </c>
      <c r="F30" s="367">
        <f t="shared" si="20"/>
        <v>43298.305028836105</v>
      </c>
      <c r="G30" s="362">
        <f t="shared" si="17"/>
        <v>0</v>
      </c>
      <c r="H30" s="362">
        <f t="shared" si="18"/>
        <v>534.40256811739152</v>
      </c>
      <c r="I30" s="359"/>
      <c r="J30" s="357">
        <f t="shared" si="19"/>
        <v>0</v>
      </c>
      <c r="K30" s="361">
        <f t="shared" si="10"/>
        <v>515652.92440636194</v>
      </c>
      <c r="M30" s="355">
        <v>22</v>
      </c>
      <c r="N30" s="361">
        <f t="shared" si="11"/>
        <v>3333.3333333333335</v>
      </c>
      <c r="O30" s="364">
        <f t="shared" si="12"/>
        <v>1040</v>
      </c>
      <c r="P30" s="361">
        <f t="shared" si="13"/>
        <v>500000</v>
      </c>
    </row>
    <row r="31" spans="2:16">
      <c r="B31" s="355">
        <v>23</v>
      </c>
      <c r="C31" s="361">
        <f t="shared" si="14"/>
        <v>3333.3333333333335</v>
      </c>
      <c r="D31" s="362">
        <f t="shared" si="15"/>
        <v>12.004276215708597</v>
      </c>
      <c r="E31" s="362">
        <f t="shared" si="16"/>
        <v>277.67882656443618</v>
      </c>
      <c r="F31" s="367">
        <f t="shared" si="20"/>
        <v>43020.626202271669</v>
      </c>
      <c r="G31" s="362">
        <f t="shared" si="17"/>
        <v>0</v>
      </c>
      <c r="H31" s="362">
        <f t="shared" si="18"/>
        <v>556.54506768897193</v>
      </c>
      <c r="I31" s="359"/>
      <c r="J31" s="357">
        <f t="shared" si="19"/>
        <v>0</v>
      </c>
      <c r="K31" s="361">
        <f t="shared" si="10"/>
        <v>516431.47990481986</v>
      </c>
      <c r="M31" s="355">
        <v>23</v>
      </c>
      <c r="N31" s="361">
        <f t="shared" si="11"/>
        <v>3333.3333333333335</v>
      </c>
      <c r="O31" s="364">
        <f t="shared" si="12"/>
        <v>1040</v>
      </c>
      <c r="P31" s="361">
        <f t="shared" si="13"/>
        <v>500000</v>
      </c>
    </row>
    <row r="32" spans="2:16">
      <c r="B32" s="355">
        <v>24</v>
      </c>
      <c r="C32" s="361">
        <f t="shared" si="14"/>
        <v>3333.3333333333335</v>
      </c>
      <c r="D32" s="362">
        <f t="shared" si="15"/>
        <v>12.100000000000007</v>
      </c>
      <c r="E32" s="362">
        <f t="shared" si="16"/>
        <v>275.48209366391171</v>
      </c>
      <c r="F32" s="357">
        <f t="shared" si="20"/>
        <v>42745.144108607754</v>
      </c>
      <c r="G32" s="362">
        <f t="shared" si="17"/>
        <v>0</v>
      </c>
      <c r="H32" s="362">
        <f t="shared" si="18"/>
        <v>578.51239669421648</v>
      </c>
      <c r="I32" s="359"/>
      <c r="J32" s="357">
        <f t="shared" si="19"/>
        <v>0</v>
      </c>
      <c r="K32" s="361">
        <f t="shared" si="10"/>
        <v>517216.24371415412</v>
      </c>
      <c r="M32" s="355">
        <v>24</v>
      </c>
      <c r="N32" s="361">
        <f t="shared" si="11"/>
        <v>3333.3333333333335</v>
      </c>
      <c r="O32" s="364">
        <f t="shared" si="12"/>
        <v>1040</v>
      </c>
      <c r="P32" s="361">
        <f t="shared" si="13"/>
        <v>500000</v>
      </c>
    </row>
    <row r="33" spans="2:16">
      <c r="B33" s="523" t="s">
        <v>312</v>
      </c>
      <c r="C33" s="524">
        <f>SUM(C21:C32)</f>
        <v>40000</v>
      </c>
      <c r="D33" s="525"/>
      <c r="E33" s="528"/>
      <c r="F33" s="527"/>
      <c r="G33" s="528"/>
      <c r="H33" s="528"/>
      <c r="I33" s="528"/>
      <c r="J33" s="532">
        <f>IF($C$3 = "Debt Fund",  SUM(J21:J32), IF( SUM(H21:H32) &gt;100000, (SUM(H21:H32) - 100000) * 10.4%,0))</f>
        <v>0</v>
      </c>
      <c r="K33" s="533"/>
      <c r="M33" s="523" t="s">
        <v>312</v>
      </c>
      <c r="N33" s="524">
        <f>SUM(N21:N32)</f>
        <v>40000</v>
      </c>
      <c r="O33" s="529">
        <f>SUM(O21:O32)</f>
        <v>12480</v>
      </c>
      <c r="P33" s="532"/>
    </row>
    <row r="34" spans="2:16">
      <c r="B34" s="523" t="s">
        <v>313</v>
      </c>
      <c r="C34" s="524">
        <f>C33-J33</f>
        <v>40000</v>
      </c>
      <c r="D34" s="530"/>
      <c r="E34" s="530"/>
      <c r="F34" s="530"/>
      <c r="G34" s="530"/>
      <c r="H34" s="530"/>
      <c r="I34" s="530"/>
      <c r="J34" s="534">
        <f>IFERROR(J33/C33,0)</f>
        <v>0</v>
      </c>
      <c r="K34" s="535"/>
      <c r="M34" s="523" t="s">
        <v>313</v>
      </c>
      <c r="N34" s="524">
        <f>N33-O33</f>
        <v>27520</v>
      </c>
      <c r="O34" s="531">
        <f>IFERROR(O33/N33,0)</f>
        <v>0.312</v>
      </c>
      <c r="P34" s="534"/>
    </row>
    <row r="35" spans="2:16">
      <c r="B35" s="355">
        <v>25</v>
      </c>
      <c r="C35" s="361">
        <f>IF(C32=0,                   0, IF((C32/D35)&gt;F32,                                                         IF(F32=0, 0, F32*D35),                                                                               $C$2*$F$2/12))</f>
        <v>3333.3333333333335</v>
      </c>
      <c r="D35" s="362">
        <f>D32*(1+(NOMINAL($F$1,12)/12))</f>
        <v>12.196487099189742</v>
      </c>
      <c r="E35" s="362">
        <f>IF((C35/D35)&gt;F32,F32,(C35/D35))</f>
        <v>273.30273924159519</v>
      </c>
      <c r="F35" s="367">
        <f>F32-E35</f>
        <v>42471.841369366157</v>
      </c>
      <c r="G35" s="362">
        <f t="shared" ref="G35:G46" si="21">IF($C$3="Debt Fund", E35*(D35-10),0)</f>
        <v>0</v>
      </c>
      <c r="H35" s="362">
        <f t="shared" ref="H35:H46" si="22">IF($C$3="Balanced /Equity", E35*(D35-10),0)</f>
        <v>600.30594091738192</v>
      </c>
      <c r="I35" s="359"/>
      <c r="J35" s="357">
        <f>IF($C$3="Balanced /Equity",0,G35*$F$4)</f>
        <v>0</v>
      </c>
      <c r="K35" s="361">
        <f t="shared" ref="K35:K46" si="23">D35*F35</f>
        <v>518007.26534030749</v>
      </c>
      <c r="M35" s="355">
        <v>25</v>
      </c>
      <c r="N35" s="361">
        <f t="shared" ref="N35:N46" si="24">$C$2*$O$1/12</f>
        <v>3333.3333333333335</v>
      </c>
      <c r="O35" s="364">
        <f t="shared" ref="O35:O46" si="25">N35*$F$4</f>
        <v>1040</v>
      </c>
      <c r="P35" s="361">
        <f t="shared" ref="P35:P46" si="26">$C$2</f>
        <v>500000</v>
      </c>
    </row>
    <row r="36" spans="2:16">
      <c r="B36" s="355">
        <v>26</v>
      </c>
      <c r="C36" s="361">
        <f t="shared" ref="C36:C46" si="27">IF(C35=0,                   0, IF((C35/D36)&gt;F35,                                                         IF(F35=0, 0, F35*D36),                                                                               $C$2*$F$2/12))</f>
        <v>3333.3333333333335</v>
      </c>
      <c r="D36" s="362">
        <f t="shared" ref="D36:D46" si="28">D35*(1+(NOMINAL($F$1,12)/12))</f>
        <v>12.293743600057994</v>
      </c>
      <c r="E36" s="362">
        <f t="shared" ref="E36:E46" si="29">IF((C36/D36)&gt;F35,F35,(C36/D36))</f>
        <v>271.14062581536263</v>
      </c>
      <c r="F36" s="367">
        <f>F35-E36</f>
        <v>42200.700743550791</v>
      </c>
      <c r="G36" s="362">
        <f t="shared" si="21"/>
        <v>0</v>
      </c>
      <c r="H36" s="362">
        <f t="shared" si="22"/>
        <v>621.92707517970723</v>
      </c>
      <c r="I36" s="359"/>
      <c r="J36" s="357">
        <f t="shared" ref="J36:J46" si="30">IF($C$3="Balanced /Equity",0,G36*$F$4)</f>
        <v>0</v>
      </c>
      <c r="K36" s="361">
        <f t="shared" si="23"/>
        <v>518804.59468399017</v>
      </c>
      <c r="M36" s="355">
        <v>26</v>
      </c>
      <c r="N36" s="361">
        <f t="shared" si="24"/>
        <v>3333.3333333333335</v>
      </c>
      <c r="O36" s="364">
        <f t="shared" si="25"/>
        <v>1040</v>
      </c>
      <c r="P36" s="361">
        <f t="shared" si="26"/>
        <v>500000</v>
      </c>
    </row>
    <row r="37" spans="2:16">
      <c r="B37" s="355">
        <v>27</v>
      </c>
      <c r="C37" s="361">
        <f t="shared" si="27"/>
        <v>3333.3333333333335</v>
      </c>
      <c r="D37" s="362">
        <f t="shared" si="28"/>
        <v>12.391775637921793</v>
      </c>
      <c r="E37" s="362">
        <f t="shared" si="29"/>
        <v>268.99561699071904</v>
      </c>
      <c r="F37" s="367">
        <f t="shared" ref="F37:F46" si="31">F36-E37</f>
        <v>41931.705126560075</v>
      </c>
      <c r="G37" s="362">
        <f t="shared" si="21"/>
        <v>0</v>
      </c>
      <c r="H37" s="362">
        <f t="shared" si="22"/>
        <v>643.37716342614328</v>
      </c>
      <c r="I37" s="359"/>
      <c r="J37" s="357">
        <f t="shared" si="30"/>
        <v>0</v>
      </c>
      <c r="K37" s="361">
        <f t="shared" si="23"/>
        <v>519608.28204382746</v>
      </c>
      <c r="M37" s="355">
        <v>27</v>
      </c>
      <c r="N37" s="361">
        <f t="shared" si="24"/>
        <v>3333.3333333333335</v>
      </c>
      <c r="O37" s="364">
        <f t="shared" si="25"/>
        <v>1040</v>
      </c>
      <c r="P37" s="361">
        <f t="shared" si="26"/>
        <v>500000</v>
      </c>
    </row>
    <row r="38" spans="2:16">
      <c r="B38" s="355">
        <v>28</v>
      </c>
      <c r="C38" s="361">
        <f t="shared" si="27"/>
        <v>3333.3333333333335</v>
      </c>
      <c r="D38" s="362">
        <f t="shared" si="28"/>
        <v>12.490589397022049</v>
      </c>
      <c r="E38" s="362">
        <f t="shared" si="29"/>
        <v>266.86757745219387</v>
      </c>
      <c r="F38" s="367">
        <f t="shared" si="31"/>
        <v>41664.837549107884</v>
      </c>
      <c r="G38" s="362">
        <f t="shared" si="21"/>
        <v>0</v>
      </c>
      <c r="H38" s="362">
        <f t="shared" si="22"/>
        <v>664.65755881139444</v>
      </c>
      <c r="I38" s="359"/>
      <c r="J38" s="357">
        <f t="shared" si="30"/>
        <v>0</v>
      </c>
      <c r="K38" s="361">
        <f t="shared" si="23"/>
        <v>520418.37811953307</v>
      </c>
      <c r="M38" s="355">
        <v>28</v>
      </c>
      <c r="N38" s="361">
        <f t="shared" si="24"/>
        <v>3333.3333333333335</v>
      </c>
      <c r="O38" s="364">
        <f t="shared" si="25"/>
        <v>1040</v>
      </c>
      <c r="P38" s="361">
        <f t="shared" si="26"/>
        <v>500000</v>
      </c>
    </row>
    <row r="39" spans="2:16">
      <c r="B39" s="355">
        <v>29</v>
      </c>
      <c r="C39" s="361">
        <f t="shared" si="27"/>
        <v>3333.3333333333335</v>
      </c>
      <c r="D39" s="362">
        <f t="shared" si="28"/>
        <v>12.590191110913679</v>
      </c>
      <c r="E39" s="362">
        <f t="shared" si="29"/>
        <v>264.75637295480504</v>
      </c>
      <c r="F39" s="367">
        <f t="shared" si="31"/>
        <v>41400.081176153079</v>
      </c>
      <c r="G39" s="362">
        <f t="shared" si="21"/>
        <v>0</v>
      </c>
      <c r="H39" s="362">
        <f t="shared" si="22"/>
        <v>685.76960378528281</v>
      </c>
      <c r="I39" s="359"/>
      <c r="J39" s="357">
        <f t="shared" si="30"/>
        <v>0</v>
      </c>
      <c r="K39" s="361">
        <f t="shared" si="23"/>
        <v>521234.93401510722</v>
      </c>
      <c r="M39" s="355">
        <v>29</v>
      </c>
      <c r="N39" s="361">
        <f t="shared" si="24"/>
        <v>3333.3333333333335</v>
      </c>
      <c r="O39" s="364">
        <f t="shared" si="25"/>
        <v>1040</v>
      </c>
      <c r="P39" s="361">
        <f t="shared" si="26"/>
        <v>500000</v>
      </c>
    </row>
    <row r="40" spans="2:16">
      <c r="B40" s="355">
        <v>30</v>
      </c>
      <c r="C40" s="361">
        <f t="shared" si="27"/>
        <v>3333.3333333333335</v>
      </c>
      <c r="D40" s="362">
        <f t="shared" si="28"/>
        <v>12.690587062858841</v>
      </c>
      <c r="E40" s="362">
        <f t="shared" si="29"/>
        <v>262.66187031559002</v>
      </c>
      <c r="F40" s="367">
        <f t="shared" si="31"/>
        <v>41137.419305837488</v>
      </c>
      <c r="G40" s="362">
        <f t="shared" si="21"/>
        <v>0</v>
      </c>
      <c r="H40" s="362">
        <f t="shared" si="22"/>
        <v>706.71463017743304</v>
      </c>
      <c r="I40" s="359"/>
      <c r="J40" s="357">
        <f t="shared" si="30"/>
        <v>0</v>
      </c>
      <c r="K40" s="361">
        <f t="shared" si="23"/>
        <v>522058.00124206074</v>
      </c>
      <c r="M40" s="355">
        <v>30</v>
      </c>
      <c r="N40" s="361">
        <f t="shared" si="24"/>
        <v>3333.3333333333335</v>
      </c>
      <c r="O40" s="364">
        <f t="shared" si="25"/>
        <v>1040</v>
      </c>
      <c r="P40" s="361">
        <f t="shared" si="26"/>
        <v>500000</v>
      </c>
    </row>
    <row r="41" spans="2:16">
      <c r="B41" s="355">
        <v>31</v>
      </c>
      <c r="C41" s="361">
        <f t="shared" si="27"/>
        <v>3333.3333333333335</v>
      </c>
      <c r="D41" s="362">
        <f t="shared" si="28"/>
        <v>12.791783586223307</v>
      </c>
      <c r="E41" s="362">
        <f t="shared" si="29"/>
        <v>260.58393740520427</v>
      </c>
      <c r="F41" s="367">
        <f t="shared" si="31"/>
        <v>40876.835368432286</v>
      </c>
      <c r="G41" s="362">
        <f t="shared" si="21"/>
        <v>0</v>
      </c>
      <c r="H41" s="362">
        <f t="shared" si="22"/>
        <v>727.49395928129093</v>
      </c>
      <c r="I41" s="359"/>
      <c r="J41" s="357">
        <f t="shared" si="30"/>
        <v>0</v>
      </c>
      <c r="K41" s="361">
        <f t="shared" si="23"/>
        <v>522887.63172266446</v>
      </c>
      <c r="M41" s="355">
        <v>31</v>
      </c>
      <c r="N41" s="361">
        <f t="shared" si="24"/>
        <v>3333.3333333333335</v>
      </c>
      <c r="O41" s="364">
        <f t="shared" si="25"/>
        <v>1040</v>
      </c>
      <c r="P41" s="361">
        <f t="shared" si="26"/>
        <v>500000</v>
      </c>
    </row>
    <row r="42" spans="2:16">
      <c r="B42" s="355">
        <v>32</v>
      </c>
      <c r="C42" s="361">
        <f t="shared" si="27"/>
        <v>3333.3333333333335</v>
      </c>
      <c r="D42" s="362">
        <f t="shared" si="28"/>
        <v>12.893787064875998</v>
      </c>
      <c r="E42" s="362">
        <f t="shared" si="29"/>
        <v>258.5224431395859</v>
      </c>
      <c r="F42" s="367">
        <f t="shared" si="31"/>
        <v>40618.312925292703</v>
      </c>
      <c r="G42" s="362">
        <f t="shared" si="21"/>
        <v>0</v>
      </c>
      <c r="H42" s="362">
        <f t="shared" si="22"/>
        <v>748.10890193747423</v>
      </c>
      <c r="I42" s="359"/>
      <c r="J42" s="357">
        <f t="shared" si="30"/>
        <v>0</v>
      </c>
      <c r="K42" s="361">
        <f t="shared" si="23"/>
        <v>523723.87779322459</v>
      </c>
      <c r="M42" s="355">
        <v>32</v>
      </c>
      <c r="N42" s="361">
        <f t="shared" si="24"/>
        <v>3333.3333333333335</v>
      </c>
      <c r="O42" s="364">
        <f t="shared" si="25"/>
        <v>1040</v>
      </c>
      <c r="P42" s="361">
        <f t="shared" si="26"/>
        <v>500000</v>
      </c>
    </row>
    <row r="43" spans="2:16">
      <c r="B43" s="355">
        <v>33</v>
      </c>
      <c r="C43" s="361">
        <f t="shared" si="27"/>
        <v>3333.3333333333335</v>
      </c>
      <c r="D43" s="362">
        <f t="shared" si="28"/>
        <v>12.996603933591702</v>
      </c>
      <c r="E43" s="362">
        <f t="shared" si="29"/>
        <v>256.47725747168658</v>
      </c>
      <c r="F43" s="367">
        <f t="shared" si="31"/>
        <v>40361.835667821018</v>
      </c>
      <c r="G43" s="362">
        <f t="shared" si="21"/>
        <v>0</v>
      </c>
      <c r="H43" s="362">
        <f t="shared" si="22"/>
        <v>768.56075861646775</v>
      </c>
      <c r="I43" s="359"/>
      <c r="J43" s="357">
        <f t="shared" si="30"/>
        <v>0</v>
      </c>
      <c r="K43" s="361">
        <f t="shared" si="23"/>
        <v>524566.79220738448</v>
      </c>
      <c r="M43" s="355">
        <v>33</v>
      </c>
      <c r="N43" s="361">
        <f t="shared" si="24"/>
        <v>3333.3333333333335</v>
      </c>
      <c r="O43" s="364">
        <f t="shared" si="25"/>
        <v>1040</v>
      </c>
      <c r="P43" s="361">
        <f t="shared" si="26"/>
        <v>500000</v>
      </c>
    </row>
    <row r="44" spans="2:16">
      <c r="B44" s="355">
        <v>34</v>
      </c>
      <c r="C44" s="361">
        <f t="shared" si="27"/>
        <v>3333.3333333333335</v>
      </c>
      <c r="D44" s="362">
        <f t="shared" si="28"/>
        <v>13.100240678457006</v>
      </c>
      <c r="E44" s="362">
        <f t="shared" si="29"/>
        <v>254.44825138326738</v>
      </c>
      <c r="F44" s="367">
        <f t="shared" si="31"/>
        <v>40107.387416437748</v>
      </c>
      <c r="G44" s="362">
        <f t="shared" si="21"/>
        <v>0</v>
      </c>
      <c r="H44" s="362">
        <f t="shared" si="22"/>
        <v>788.85081950065955</v>
      </c>
      <c r="I44" s="359"/>
      <c r="J44" s="357">
        <f t="shared" si="30"/>
        <v>0</v>
      </c>
      <c r="K44" s="361">
        <f t="shared" si="23"/>
        <v>525416.42813945247</v>
      </c>
      <c r="M44" s="355">
        <v>34</v>
      </c>
      <c r="N44" s="361">
        <f t="shared" si="24"/>
        <v>3333.3333333333335</v>
      </c>
      <c r="O44" s="364">
        <f t="shared" si="25"/>
        <v>1040</v>
      </c>
      <c r="P44" s="361">
        <f t="shared" si="26"/>
        <v>500000</v>
      </c>
    </row>
    <row r="45" spans="2:16">
      <c r="B45" s="355">
        <v>35</v>
      </c>
      <c r="C45" s="361">
        <f t="shared" si="27"/>
        <v>3333.3333333333335</v>
      </c>
      <c r="D45" s="362">
        <f t="shared" si="28"/>
        <v>13.204703837279459</v>
      </c>
      <c r="E45" s="362">
        <f t="shared" si="29"/>
        <v>252.43529687676011</v>
      </c>
      <c r="F45" s="367">
        <f t="shared" si="31"/>
        <v>39854.952119560985</v>
      </c>
      <c r="G45" s="362">
        <f t="shared" si="21"/>
        <v>0</v>
      </c>
      <c r="H45" s="362">
        <f t="shared" si="22"/>
        <v>808.98036456573243</v>
      </c>
      <c r="I45" s="359"/>
      <c r="J45" s="357">
        <f t="shared" si="30"/>
        <v>0</v>
      </c>
      <c r="K45" s="361">
        <f t="shared" si="23"/>
        <v>526272.83918775606</v>
      </c>
      <c r="M45" s="355">
        <v>35</v>
      </c>
      <c r="N45" s="361">
        <f t="shared" si="24"/>
        <v>3333.3333333333335</v>
      </c>
      <c r="O45" s="364">
        <f t="shared" si="25"/>
        <v>1040</v>
      </c>
      <c r="P45" s="361">
        <f t="shared" si="26"/>
        <v>500000</v>
      </c>
    </row>
    <row r="46" spans="2:16">
      <c r="B46" s="355">
        <v>36</v>
      </c>
      <c r="C46" s="361">
        <f t="shared" si="27"/>
        <v>3333.3333333333335</v>
      </c>
      <c r="D46" s="362">
        <f t="shared" si="28"/>
        <v>13.310000000000009</v>
      </c>
      <c r="E46" s="362">
        <f t="shared" si="29"/>
        <v>250.43826696719242</v>
      </c>
      <c r="F46" s="357">
        <f t="shared" si="31"/>
        <v>39604.513852593795</v>
      </c>
      <c r="G46" s="362">
        <f t="shared" si="21"/>
        <v>0</v>
      </c>
      <c r="H46" s="362">
        <f t="shared" si="22"/>
        <v>828.95066366140929</v>
      </c>
      <c r="I46" s="359"/>
      <c r="J46" s="357">
        <f t="shared" si="30"/>
        <v>0</v>
      </c>
      <c r="K46" s="361">
        <f t="shared" si="23"/>
        <v>527136.07937802374</v>
      </c>
      <c r="M46" s="355">
        <v>36</v>
      </c>
      <c r="N46" s="361">
        <f t="shared" si="24"/>
        <v>3333.3333333333335</v>
      </c>
      <c r="O46" s="364">
        <f t="shared" si="25"/>
        <v>1040</v>
      </c>
      <c r="P46" s="361">
        <f t="shared" si="26"/>
        <v>500000</v>
      </c>
    </row>
    <row r="47" spans="2:16">
      <c r="B47" s="523" t="s">
        <v>312</v>
      </c>
      <c r="C47" s="524">
        <f>SUM(C35:C46)</f>
        <v>40000</v>
      </c>
      <c r="D47" s="525"/>
      <c r="E47" s="528"/>
      <c r="F47" s="527"/>
      <c r="G47" s="528"/>
      <c r="H47" s="528"/>
      <c r="I47" s="528"/>
      <c r="J47" s="532">
        <f>IF($C$3 = "Debt Fund",  SUM(J35:J46), IF( SUM(H35:H46) &gt;100000, (SUM(H35:H46) - 100000) * 10.4%,0))</f>
        <v>0</v>
      </c>
      <c r="K47" s="533"/>
      <c r="M47" s="523" t="s">
        <v>312</v>
      </c>
      <c r="N47" s="524">
        <f t="shared" ref="N47" si="32">SUM(N35:N46)</f>
        <v>40000</v>
      </c>
      <c r="O47" s="529">
        <f t="shared" ref="O47" si="33">SUM(O35:O46)</f>
        <v>12480</v>
      </c>
      <c r="P47" s="532"/>
    </row>
    <row r="48" spans="2:16">
      <c r="B48" s="523" t="s">
        <v>313</v>
      </c>
      <c r="C48" s="524">
        <f>C47-J47</f>
        <v>40000</v>
      </c>
      <c r="D48" s="530"/>
      <c r="E48" s="530"/>
      <c r="F48" s="530"/>
      <c r="G48" s="530"/>
      <c r="H48" s="530"/>
      <c r="I48" s="530"/>
      <c r="J48" s="534">
        <f>IFERROR(J47/C47,0)</f>
        <v>0</v>
      </c>
      <c r="K48" s="535"/>
      <c r="M48" s="523" t="s">
        <v>313</v>
      </c>
      <c r="N48" s="524">
        <f>N47-O47</f>
        <v>27520</v>
      </c>
      <c r="O48" s="531">
        <f>IFERROR(O47/N47, 0)</f>
        <v>0.312</v>
      </c>
      <c r="P48" s="534"/>
    </row>
    <row r="49" spans="2:16">
      <c r="B49" s="355">
        <v>37</v>
      </c>
      <c r="C49" s="361">
        <f>IF(C46=0,                   0, IF((C46/D49)&gt;F46,                                                         IF(F46=0, 0, F46*D49),                                                                               $C$2*$F$2/12))</f>
        <v>3333.3333333333335</v>
      </c>
      <c r="D49" s="362">
        <f>D46*(1+(NOMINAL($F$1,12)/12))</f>
        <v>13.416135809108718</v>
      </c>
      <c r="E49" s="362">
        <f>IF((C49/D49)&gt;F46,F46,(C49/D49))</f>
        <v>248.45703567417738</v>
      </c>
      <c r="F49" s="367">
        <f>F46-E49</f>
        <v>39356.056816919619</v>
      </c>
      <c r="G49" s="362"/>
      <c r="H49" s="364">
        <f>E49*(D49-10)</f>
        <v>848.76297659155966</v>
      </c>
      <c r="I49" s="364">
        <f>IF($C$3="Balanced /Equity",0,E49*(D49-FV($F$3,3,,-10)))</f>
        <v>0</v>
      </c>
      <c r="J49" s="357">
        <f>IF($C$3="Balanced /Equity",0,I49*$F$4)</f>
        <v>0</v>
      </c>
      <c r="K49" s="361">
        <f t="shared" ref="K49:K60" si="34">D49*F49</f>
        <v>528006.20316679263</v>
      </c>
      <c r="M49" s="355">
        <v>37</v>
      </c>
      <c r="N49" s="361">
        <f t="shared" ref="N49:N60" si="35">$C$2*$O$1/12</f>
        <v>3333.3333333333335</v>
      </c>
      <c r="O49" s="364">
        <f t="shared" ref="O49:O60" si="36">N49*$F$4</f>
        <v>1040</v>
      </c>
      <c r="P49" s="361">
        <f t="shared" ref="P49:P60" si="37">$C$2</f>
        <v>500000</v>
      </c>
    </row>
    <row r="50" spans="2:16">
      <c r="B50" s="355">
        <v>38</v>
      </c>
      <c r="C50" s="361">
        <f t="shared" ref="C50:C60" si="38">IF(C49=0,                   0, IF((C49/D50)&gt;F49,                                                         IF(F49=0, 0, F49*D50),                                                                               $C$2*$F$2/12))</f>
        <v>3333.3333333333335</v>
      </c>
      <c r="D50" s="362">
        <f t="shared" ref="D50:D60" si="39">D49*(1+(NOMINAL($F$1,12)/12))</f>
        <v>13.523117960063797</v>
      </c>
      <c r="E50" s="362">
        <f t="shared" ref="E50:E60" si="40">IF((C50/D50)&gt;F49,F49,(C50/D50))</f>
        <v>246.49147801396595</v>
      </c>
      <c r="F50" s="367">
        <f>F49-E50</f>
        <v>39109.565338905653</v>
      </c>
      <c r="G50" s="362"/>
      <c r="H50" s="364">
        <f t="shared" ref="H50:H60" si="41">E50*(D50-10)</f>
        <v>868.4185531936738</v>
      </c>
      <c r="I50" s="364">
        <f t="shared" ref="I50:I60" si="42">IF($C$3="Balanced /Equity",0,E50*(D50-FV($F$3,3,,-10)))</f>
        <v>0</v>
      </c>
      <c r="J50" s="357">
        <f t="shared" ref="J50:J60" si="43">IF($C$3="Balanced /Equity",0,I50*$F$4)</f>
        <v>0</v>
      </c>
      <c r="K50" s="361">
        <f t="shared" si="34"/>
        <v>528883.26544484356</v>
      </c>
      <c r="M50" s="355">
        <v>38</v>
      </c>
      <c r="N50" s="361">
        <f t="shared" si="35"/>
        <v>3333.3333333333335</v>
      </c>
      <c r="O50" s="364">
        <f t="shared" si="36"/>
        <v>1040</v>
      </c>
      <c r="P50" s="361">
        <f t="shared" si="37"/>
        <v>500000</v>
      </c>
    </row>
    <row r="51" spans="2:16">
      <c r="B51" s="355">
        <v>39</v>
      </c>
      <c r="C51" s="361">
        <f t="shared" si="38"/>
        <v>3333.3333333333335</v>
      </c>
      <c r="D51" s="362">
        <f t="shared" si="39"/>
        <v>13.630953201713975</v>
      </c>
      <c r="E51" s="362">
        <f t="shared" si="40"/>
        <v>244.54146999156271</v>
      </c>
      <c r="F51" s="367">
        <f t="shared" ref="F51:F60" si="44">F50-E51</f>
        <v>38865.02386891409</v>
      </c>
      <c r="G51" s="362"/>
      <c r="H51" s="364">
        <f t="shared" si="41"/>
        <v>887.91863341770659</v>
      </c>
      <c r="I51" s="364">
        <f t="shared" si="42"/>
        <v>0</v>
      </c>
      <c r="J51" s="357">
        <f t="shared" si="43"/>
        <v>0</v>
      </c>
      <c r="K51" s="361">
        <f t="shared" si="34"/>
        <v>529767.32154066453</v>
      </c>
      <c r="M51" s="355">
        <v>39</v>
      </c>
      <c r="N51" s="361">
        <f t="shared" si="35"/>
        <v>3333.3333333333335</v>
      </c>
      <c r="O51" s="364">
        <f t="shared" si="36"/>
        <v>1040</v>
      </c>
      <c r="P51" s="361">
        <f t="shared" si="37"/>
        <v>500000</v>
      </c>
    </row>
    <row r="52" spans="2:16">
      <c r="B52" s="355">
        <v>40</v>
      </c>
      <c r="C52" s="361">
        <f t="shared" si="38"/>
        <v>3333.3333333333335</v>
      </c>
      <c r="D52" s="362">
        <f t="shared" si="39"/>
        <v>13.739648336724258</v>
      </c>
      <c r="E52" s="362">
        <f t="shared" si="40"/>
        <v>242.60688859290346</v>
      </c>
      <c r="F52" s="367">
        <f t="shared" si="44"/>
        <v>38622.416980321184</v>
      </c>
      <c r="G52" s="362"/>
      <c r="H52" s="364">
        <f t="shared" si="41"/>
        <v>907.26444740429883</v>
      </c>
      <c r="I52" s="364">
        <f t="shared" si="42"/>
        <v>0</v>
      </c>
      <c r="J52" s="357">
        <f t="shared" si="43"/>
        <v>0</v>
      </c>
      <c r="K52" s="361">
        <f t="shared" si="34"/>
        <v>530658.42722394073</v>
      </c>
      <c r="M52" s="355">
        <v>40</v>
      </c>
      <c r="N52" s="361">
        <f t="shared" si="35"/>
        <v>3333.3333333333335</v>
      </c>
      <c r="O52" s="364">
        <f t="shared" si="36"/>
        <v>1040</v>
      </c>
      <c r="P52" s="361">
        <f t="shared" si="37"/>
        <v>500000</v>
      </c>
    </row>
    <row r="53" spans="2:16">
      <c r="B53" s="355">
        <v>41</v>
      </c>
      <c r="C53" s="361">
        <f t="shared" si="38"/>
        <v>3333.3333333333335</v>
      </c>
      <c r="D53" s="362">
        <f t="shared" si="39"/>
        <v>13.849210222005052</v>
      </c>
      <c r="E53" s="362">
        <f t="shared" si="40"/>
        <v>240.68761177709541</v>
      </c>
      <c r="F53" s="367">
        <f t="shared" si="44"/>
        <v>38381.729368544089</v>
      </c>
      <c r="G53" s="362"/>
      <c r="H53" s="364">
        <f t="shared" si="41"/>
        <v>926.45721556237913</v>
      </c>
      <c r="I53" s="364">
        <f t="shared" si="42"/>
        <v>0</v>
      </c>
      <c r="J53" s="357">
        <f t="shared" si="43"/>
        <v>0</v>
      </c>
      <c r="K53" s="361">
        <f t="shared" si="34"/>
        <v>531556.63870907226</v>
      </c>
      <c r="M53" s="355">
        <v>41</v>
      </c>
      <c r="N53" s="361">
        <f t="shared" si="35"/>
        <v>3333.3333333333335</v>
      </c>
      <c r="O53" s="364">
        <f t="shared" si="36"/>
        <v>1040</v>
      </c>
      <c r="P53" s="361">
        <f t="shared" si="37"/>
        <v>500000</v>
      </c>
    </row>
    <row r="54" spans="2:16">
      <c r="B54" s="355">
        <v>42</v>
      </c>
      <c r="C54" s="361">
        <f t="shared" si="38"/>
        <v>3333.3333333333335</v>
      </c>
      <c r="D54" s="362">
        <f t="shared" si="39"/>
        <v>13.95964576914473</v>
      </c>
      <c r="E54" s="362">
        <f t="shared" si="40"/>
        <v>238.78351846871811</v>
      </c>
      <c r="F54" s="367">
        <f t="shared" si="44"/>
        <v>38142.945850075368</v>
      </c>
      <c r="G54" s="362"/>
      <c r="H54" s="364">
        <f t="shared" si="41"/>
        <v>945.49814864615223</v>
      </c>
      <c r="I54" s="364">
        <f t="shared" si="42"/>
        <v>0</v>
      </c>
      <c r="J54" s="357">
        <f t="shared" si="43"/>
        <v>0</v>
      </c>
      <c r="K54" s="361">
        <f t="shared" si="34"/>
        <v>532462.01265872119</v>
      </c>
      <c r="M54" s="355">
        <v>42</v>
      </c>
      <c r="N54" s="361">
        <f t="shared" si="35"/>
        <v>3333.3333333333335</v>
      </c>
      <c r="O54" s="364">
        <f t="shared" si="36"/>
        <v>1040</v>
      </c>
      <c r="P54" s="361">
        <f t="shared" si="37"/>
        <v>500000</v>
      </c>
    </row>
    <row r="55" spans="2:16">
      <c r="B55" s="355">
        <v>43</v>
      </c>
      <c r="C55" s="361">
        <f t="shared" si="38"/>
        <v>3333.3333333333335</v>
      </c>
      <c r="D55" s="362">
        <f t="shared" si="39"/>
        <v>14.070961944845642</v>
      </c>
      <c r="E55" s="362">
        <f t="shared" si="40"/>
        <v>236.89448855018563</v>
      </c>
      <c r="F55" s="367">
        <f t="shared" si="44"/>
        <v>37906.051361525184</v>
      </c>
      <c r="G55" s="362"/>
      <c r="H55" s="364">
        <f t="shared" si="41"/>
        <v>964.38844783147738</v>
      </c>
      <c r="I55" s="364">
        <f t="shared" si="42"/>
        <v>0</v>
      </c>
      <c r="J55" s="357">
        <f t="shared" si="43"/>
        <v>0</v>
      </c>
      <c r="K55" s="361">
        <f t="shared" si="34"/>
        <v>533374.60618738516</v>
      </c>
      <c r="M55" s="355">
        <v>43</v>
      </c>
      <c r="N55" s="361">
        <f t="shared" si="35"/>
        <v>3333.3333333333335</v>
      </c>
      <c r="O55" s="364">
        <f t="shared" si="36"/>
        <v>1040</v>
      </c>
      <c r="P55" s="361">
        <f t="shared" si="37"/>
        <v>500000</v>
      </c>
    </row>
    <row r="56" spans="2:16">
      <c r="B56" s="355">
        <v>44</v>
      </c>
      <c r="C56" s="361">
        <f t="shared" si="38"/>
        <v>3333.3333333333335</v>
      </c>
      <c r="D56" s="362">
        <f t="shared" si="39"/>
        <v>14.183165771363603</v>
      </c>
      <c r="E56" s="362">
        <f t="shared" si="40"/>
        <v>235.02040285416894</v>
      </c>
      <c r="F56" s="367">
        <f t="shared" si="44"/>
        <v>37671.030958671014</v>
      </c>
      <c r="G56" s="362"/>
      <c r="H56" s="364">
        <f t="shared" si="41"/>
        <v>983.12930479164436</v>
      </c>
      <c r="I56" s="364">
        <f t="shared" si="42"/>
        <v>0</v>
      </c>
      <c r="J56" s="357">
        <f t="shared" si="43"/>
        <v>0</v>
      </c>
      <c r="K56" s="361">
        <f t="shared" si="34"/>
        <v>534294.47686500137</v>
      </c>
      <c r="M56" s="355">
        <v>44</v>
      </c>
      <c r="N56" s="361">
        <f t="shared" si="35"/>
        <v>3333.3333333333335</v>
      </c>
      <c r="O56" s="364">
        <f t="shared" si="36"/>
        <v>1040</v>
      </c>
      <c r="P56" s="361">
        <f t="shared" si="37"/>
        <v>500000</v>
      </c>
    </row>
    <row r="57" spans="2:16">
      <c r="B57" s="355">
        <v>45</v>
      </c>
      <c r="C57" s="361">
        <f t="shared" si="38"/>
        <v>3333.3333333333335</v>
      </c>
      <c r="D57" s="362">
        <f t="shared" si="39"/>
        <v>14.296264326950878</v>
      </c>
      <c r="E57" s="362">
        <f t="shared" si="40"/>
        <v>233.16114315607862</v>
      </c>
      <c r="F57" s="367">
        <f t="shared" si="44"/>
        <v>37437.869815514932</v>
      </c>
      <c r="G57" s="362"/>
      <c r="H57" s="364">
        <f t="shared" si="41"/>
        <v>1001.7219017725474</v>
      </c>
      <c r="I57" s="364">
        <f t="shared" si="42"/>
        <v>0</v>
      </c>
      <c r="J57" s="357">
        <f t="shared" si="43"/>
        <v>0</v>
      </c>
      <c r="K57" s="361">
        <f t="shared" si="34"/>
        <v>535221.68272057711</v>
      </c>
      <c r="M57" s="355">
        <v>45</v>
      </c>
      <c r="N57" s="361">
        <f t="shared" si="35"/>
        <v>3333.3333333333335</v>
      </c>
      <c r="O57" s="364">
        <f t="shared" si="36"/>
        <v>1040</v>
      </c>
      <c r="P57" s="361">
        <f t="shared" si="37"/>
        <v>500000</v>
      </c>
    </row>
    <row r="58" spans="2:16">
      <c r="B58" s="355">
        <v>46</v>
      </c>
      <c r="C58" s="361">
        <f t="shared" si="38"/>
        <v>3333.3333333333335</v>
      </c>
      <c r="D58" s="362">
        <f t="shared" si="39"/>
        <v>14.410264746302712</v>
      </c>
      <c r="E58" s="362">
        <f t="shared" si="40"/>
        <v>231.31659216660663</v>
      </c>
      <c r="F58" s="367">
        <f t="shared" si="44"/>
        <v>37206.553223348325</v>
      </c>
      <c r="G58" s="362"/>
      <c r="H58" s="364">
        <f t="shared" si="41"/>
        <v>1020.1674116672672</v>
      </c>
      <c r="I58" s="364">
        <f t="shared" si="42"/>
        <v>0</v>
      </c>
      <c r="J58" s="357">
        <f t="shared" si="43"/>
        <v>0</v>
      </c>
      <c r="K58" s="361">
        <f t="shared" si="34"/>
        <v>536156.28224585194</v>
      </c>
      <c r="M58" s="355">
        <v>46</v>
      </c>
      <c r="N58" s="361">
        <f t="shared" si="35"/>
        <v>3333.3333333333335</v>
      </c>
      <c r="O58" s="364">
        <f t="shared" si="36"/>
        <v>1040</v>
      </c>
      <c r="P58" s="361">
        <f t="shared" si="37"/>
        <v>500000</v>
      </c>
    </row>
    <row r="59" spans="2:16">
      <c r="B59" s="355">
        <v>47</v>
      </c>
      <c r="C59" s="361">
        <f t="shared" si="38"/>
        <v>3333.3333333333335</v>
      </c>
      <c r="D59" s="362">
        <f t="shared" si="39"/>
        <v>14.525174221007411</v>
      </c>
      <c r="E59" s="362">
        <f t="shared" si="40"/>
        <v>229.48663352432726</v>
      </c>
      <c r="F59" s="367">
        <f t="shared" si="44"/>
        <v>36977.066589823997</v>
      </c>
      <c r="G59" s="362"/>
      <c r="H59" s="364">
        <f t="shared" si="41"/>
        <v>1038.466998090061</v>
      </c>
      <c r="I59" s="364">
        <f t="shared" si="42"/>
        <v>0</v>
      </c>
      <c r="J59" s="357">
        <f t="shared" si="43"/>
        <v>0</v>
      </c>
      <c r="K59" s="361">
        <f t="shared" si="34"/>
        <v>537098.33439898596</v>
      </c>
      <c r="M59" s="355">
        <v>47</v>
      </c>
      <c r="N59" s="361">
        <f t="shared" si="35"/>
        <v>3333.3333333333335</v>
      </c>
      <c r="O59" s="364">
        <f t="shared" si="36"/>
        <v>1040</v>
      </c>
      <c r="P59" s="361">
        <f t="shared" si="37"/>
        <v>500000</v>
      </c>
    </row>
    <row r="60" spans="2:16">
      <c r="B60" s="355">
        <v>48</v>
      </c>
      <c r="C60" s="361">
        <f t="shared" si="38"/>
        <v>3333.3333333333335</v>
      </c>
      <c r="D60" s="362">
        <f t="shared" si="39"/>
        <v>14.641000000000018</v>
      </c>
      <c r="E60" s="362">
        <f t="shared" si="40"/>
        <v>227.67115178835664</v>
      </c>
      <c r="F60" s="357">
        <f t="shared" si="44"/>
        <v>36749.395438035637</v>
      </c>
      <c r="G60" s="362"/>
      <c r="H60" s="364">
        <f t="shared" si="41"/>
        <v>1056.6218154497672</v>
      </c>
      <c r="I60" s="364">
        <f t="shared" si="42"/>
        <v>0</v>
      </c>
      <c r="J60" s="357">
        <f t="shared" si="43"/>
        <v>0</v>
      </c>
      <c r="K60" s="361">
        <f t="shared" si="34"/>
        <v>538047.89860828046</v>
      </c>
      <c r="M60" s="355">
        <v>48</v>
      </c>
      <c r="N60" s="361">
        <f t="shared" si="35"/>
        <v>3333.3333333333335</v>
      </c>
      <c r="O60" s="364">
        <f t="shared" si="36"/>
        <v>1040</v>
      </c>
      <c r="P60" s="361">
        <f t="shared" si="37"/>
        <v>500000</v>
      </c>
    </row>
    <row r="61" spans="2:16">
      <c r="B61" s="523" t="s">
        <v>312</v>
      </c>
      <c r="C61" s="524">
        <f>SUM(C49:C60)</f>
        <v>40000</v>
      </c>
      <c r="D61" s="525"/>
      <c r="E61" s="528"/>
      <c r="F61" s="527"/>
      <c r="G61" s="528"/>
      <c r="H61" s="528"/>
      <c r="I61" s="528"/>
      <c r="J61" s="532">
        <f>IF($C$3 = "Debt Fund",  SUM(J49:J60), IF( SUM(H49:H60) &gt;100000, (SUM(H49:H60) - 100000) * 10.4%,0))</f>
        <v>0</v>
      </c>
      <c r="K61" s="533"/>
      <c r="M61" s="523" t="s">
        <v>312</v>
      </c>
      <c r="N61" s="524">
        <f t="shared" ref="N61" si="45">SUM(N49:N60)</f>
        <v>40000</v>
      </c>
      <c r="O61" s="529">
        <f t="shared" ref="O61" si="46">SUM(O49:O60)</f>
        <v>12480</v>
      </c>
      <c r="P61" s="532"/>
    </row>
    <row r="62" spans="2:16">
      <c r="B62" s="523" t="s">
        <v>313</v>
      </c>
      <c r="C62" s="524">
        <f>C61-J61</f>
        <v>40000</v>
      </c>
      <c r="D62" s="530"/>
      <c r="E62" s="530"/>
      <c r="F62" s="530"/>
      <c r="G62" s="530"/>
      <c r="H62" s="530"/>
      <c r="I62" s="530"/>
      <c r="J62" s="534">
        <f>IFERROR(J61/C61,0)</f>
        <v>0</v>
      </c>
      <c r="K62" s="535"/>
      <c r="M62" s="523" t="s">
        <v>313</v>
      </c>
      <c r="N62" s="524">
        <f>N61-O61</f>
        <v>27520</v>
      </c>
      <c r="O62" s="531">
        <f>IFERROR(O61/N61, 0)</f>
        <v>0.312</v>
      </c>
      <c r="P62" s="534"/>
    </row>
    <row r="63" spans="2:16">
      <c r="B63" s="355">
        <v>49</v>
      </c>
      <c r="C63" s="361">
        <f>IF(C60=0,                   0, IF((C60/D63)&gt;F60,                                                         IF(F60=0, 0, F60*D63),                                                                               $C$2*$F$2/12))</f>
        <v>3333.3333333333335</v>
      </c>
      <c r="D63" s="362">
        <f>D60*(1+(NOMINAL($F$1,12)/12))</f>
        <v>14.757749390019598</v>
      </c>
      <c r="E63" s="362">
        <f>IF((C63/D63)&gt;F60,F60,(C63/D63))</f>
        <v>225.87003243107023</v>
      </c>
      <c r="F63" s="367">
        <f>F60-E63</f>
        <v>36523.525405604567</v>
      </c>
      <c r="G63" s="362"/>
      <c r="H63" s="364">
        <f>E63*(D63-10)</f>
        <v>1074.6330090226311</v>
      </c>
      <c r="I63" s="364">
        <f>IF($C$3="Balanced /Equity",0,E63*(D63-FV($F$3,4,,-10)))</f>
        <v>0</v>
      </c>
      <c r="J63" s="357">
        <f>IF($C$3="Balanced /Equity",0,I63*$F$4)</f>
        <v>0</v>
      </c>
      <c r="K63" s="361">
        <f t="shared" ref="K63:K74" si="47">D63*F63</f>
        <v>539005.03477592603</v>
      </c>
      <c r="M63" s="355">
        <v>49</v>
      </c>
      <c r="N63" s="361">
        <f t="shared" ref="N63:N74" si="48">$C$2*$O$1/12</f>
        <v>3333.3333333333335</v>
      </c>
      <c r="O63" s="364">
        <f t="shared" ref="O63:O74" si="49">N63*$F$4</f>
        <v>1040</v>
      </c>
      <c r="P63" s="361">
        <f t="shared" ref="P63:P74" si="50">$C$2</f>
        <v>500000</v>
      </c>
    </row>
    <row r="64" spans="2:16">
      <c r="B64" s="355">
        <v>50</v>
      </c>
      <c r="C64" s="361">
        <f t="shared" ref="C64:C74" si="51">IF(C63=0,                   0, IF((C63/D64)&gt;F63,                                                         IF(F63=0, 0, F63*D64),                                                                               $C$2*$F$2/12))</f>
        <v>3333.3333333333335</v>
      </c>
      <c r="D64" s="362">
        <f t="shared" ref="D64:D74" si="52">D63*(1+(NOMINAL($F$1,12)/12))</f>
        <v>14.875429756070183</v>
      </c>
      <c r="E64" s="362">
        <f t="shared" ref="E64:E74" si="53">IF((C64/D64)&gt;F63,F63,(C64/D64))</f>
        <v>224.08316183087805</v>
      </c>
      <c r="F64" s="367">
        <f>F63-E64</f>
        <v>36299.442243773687</v>
      </c>
      <c r="G64" s="362"/>
      <c r="H64" s="364">
        <f t="shared" ref="H64:H74" si="54">E64*(D64-10)</f>
        <v>1092.5017150245531</v>
      </c>
      <c r="I64" s="364">
        <f t="shared" ref="I64:I74" si="55">IF($C$3="Balanced /Equity",0,E64*(D64-FV($F$3,4,,-10)))</f>
        <v>0</v>
      </c>
      <c r="J64" s="357">
        <f t="shared" ref="J64:J74" si="56">IF($C$3="Balanced /Equity",0,I64*$F$4)</f>
        <v>0</v>
      </c>
      <c r="K64" s="361">
        <f t="shared" si="47"/>
        <v>539969.80328178208</v>
      </c>
      <c r="M64" s="355">
        <v>50</v>
      </c>
      <c r="N64" s="361">
        <f t="shared" si="48"/>
        <v>3333.3333333333335</v>
      </c>
      <c r="O64" s="364">
        <f t="shared" si="49"/>
        <v>1040</v>
      </c>
      <c r="P64" s="361">
        <f t="shared" si="50"/>
        <v>500000</v>
      </c>
    </row>
    <row r="65" spans="2:16">
      <c r="B65" s="355">
        <v>51</v>
      </c>
      <c r="C65" s="361">
        <f t="shared" si="51"/>
        <v>3333.3333333333335</v>
      </c>
      <c r="D65" s="362">
        <f t="shared" si="52"/>
        <v>14.994048521885381</v>
      </c>
      <c r="E65" s="362">
        <f t="shared" si="53"/>
        <v>222.31042726505689</v>
      </c>
      <c r="F65" s="367">
        <f t="shared" ref="F65:F74" si="57">F64-E65</f>
        <v>36077.131816508627</v>
      </c>
      <c r="G65" s="362"/>
      <c r="H65" s="364">
        <f t="shared" si="54"/>
        <v>1110.2290606827648</v>
      </c>
      <c r="I65" s="364">
        <f t="shared" si="55"/>
        <v>0</v>
      </c>
      <c r="J65" s="357">
        <f t="shared" si="56"/>
        <v>0</v>
      </c>
      <c r="K65" s="361">
        <f t="shared" si="47"/>
        <v>540942.26498718525</v>
      </c>
      <c r="M65" s="355">
        <v>51</v>
      </c>
      <c r="N65" s="361">
        <f t="shared" si="48"/>
        <v>3333.3333333333335</v>
      </c>
      <c r="O65" s="364">
        <f t="shared" si="49"/>
        <v>1040</v>
      </c>
      <c r="P65" s="361">
        <f t="shared" si="50"/>
        <v>500000</v>
      </c>
    </row>
    <row r="66" spans="2:16">
      <c r="B66" s="355">
        <v>52</v>
      </c>
      <c r="C66" s="361">
        <f t="shared" si="51"/>
        <v>3333.3333333333335</v>
      </c>
      <c r="D66" s="362">
        <f t="shared" si="52"/>
        <v>15.113613170396691</v>
      </c>
      <c r="E66" s="362">
        <f t="shared" si="53"/>
        <v>220.55171690263941</v>
      </c>
      <c r="F66" s="367">
        <f t="shared" si="57"/>
        <v>35856.580099605984</v>
      </c>
      <c r="G66" s="362"/>
      <c r="H66" s="364">
        <f t="shared" si="54"/>
        <v>1127.8161643069395</v>
      </c>
      <c r="I66" s="364">
        <f t="shared" si="55"/>
        <v>0</v>
      </c>
      <c r="J66" s="357">
        <f t="shared" si="56"/>
        <v>0</v>
      </c>
      <c r="K66" s="361">
        <f t="shared" si="47"/>
        <v>541922.48123878893</v>
      </c>
      <c r="M66" s="355">
        <v>52</v>
      </c>
      <c r="N66" s="361">
        <f t="shared" si="48"/>
        <v>3333.3333333333335</v>
      </c>
      <c r="O66" s="364">
        <f t="shared" si="49"/>
        <v>1040</v>
      </c>
      <c r="P66" s="361">
        <f t="shared" si="50"/>
        <v>500000</v>
      </c>
    </row>
    <row r="67" spans="2:16">
      <c r="B67" s="355">
        <v>53</v>
      </c>
      <c r="C67" s="361">
        <f t="shared" si="51"/>
        <v>3333.3333333333335</v>
      </c>
      <c r="D67" s="362">
        <f t="shared" si="52"/>
        <v>15.234131244205564</v>
      </c>
      <c r="E67" s="362">
        <f t="shared" si="53"/>
        <v>218.80691979735937</v>
      </c>
      <c r="F67" s="367">
        <f t="shared" si="57"/>
        <v>35637.773179808624</v>
      </c>
      <c r="G67" s="362"/>
      <c r="H67" s="364">
        <f t="shared" si="54"/>
        <v>1145.2641353597396</v>
      </c>
      <c r="I67" s="364">
        <f t="shared" si="55"/>
        <v>0</v>
      </c>
      <c r="J67" s="357">
        <f t="shared" si="56"/>
        <v>0</v>
      </c>
      <c r="K67" s="361">
        <f t="shared" si="47"/>
        <v>542910.51387243369</v>
      </c>
      <c r="M67" s="355">
        <v>53</v>
      </c>
      <c r="N67" s="361">
        <f t="shared" si="48"/>
        <v>3333.3333333333335</v>
      </c>
      <c r="O67" s="364">
        <f t="shared" si="49"/>
        <v>1040</v>
      </c>
      <c r="P67" s="361">
        <f t="shared" si="50"/>
        <v>500000</v>
      </c>
    </row>
    <row r="68" spans="2:16">
      <c r="B68" s="355">
        <v>54</v>
      </c>
      <c r="C68" s="361">
        <f t="shared" si="51"/>
        <v>3333.3333333333335</v>
      </c>
      <c r="D68" s="362">
        <f t="shared" si="52"/>
        <v>15.35561034605921</v>
      </c>
      <c r="E68" s="362">
        <f t="shared" si="53"/>
        <v>217.07592588065273</v>
      </c>
      <c r="F68" s="367">
        <f t="shared" si="57"/>
        <v>35420.697253927974</v>
      </c>
      <c r="G68" s="362"/>
      <c r="H68" s="364">
        <f t="shared" si="54"/>
        <v>1162.574074526806</v>
      </c>
      <c r="I68" s="364">
        <f t="shared" si="55"/>
        <v>0</v>
      </c>
      <c r="J68" s="357">
        <f t="shared" si="56"/>
        <v>0</v>
      </c>
      <c r="K68" s="361">
        <f t="shared" si="47"/>
        <v>543906.42521704745</v>
      </c>
      <c r="M68" s="355">
        <v>54</v>
      </c>
      <c r="N68" s="361">
        <f t="shared" si="48"/>
        <v>3333.3333333333335</v>
      </c>
      <c r="O68" s="364">
        <f t="shared" si="49"/>
        <v>1040</v>
      </c>
      <c r="P68" s="361">
        <f t="shared" si="50"/>
        <v>500000</v>
      </c>
    </row>
    <row r="69" spans="2:16">
      <c r="B69" s="355">
        <v>55</v>
      </c>
      <c r="C69" s="361">
        <f t="shared" si="51"/>
        <v>3333.3333333333335</v>
      </c>
      <c r="D69" s="362">
        <f t="shared" si="52"/>
        <v>15.478058139330214</v>
      </c>
      <c r="E69" s="362">
        <f t="shared" si="53"/>
        <v>215.35862595471409</v>
      </c>
      <c r="F69" s="367">
        <f t="shared" si="57"/>
        <v>35205.338627973259</v>
      </c>
      <c r="G69" s="362"/>
      <c r="H69" s="364">
        <f t="shared" si="54"/>
        <v>1179.7470737861925</v>
      </c>
      <c r="I69" s="364">
        <f t="shared" si="55"/>
        <v>0</v>
      </c>
      <c r="J69" s="357">
        <f t="shared" si="56"/>
        <v>0</v>
      </c>
      <c r="K69" s="361">
        <f t="shared" si="47"/>
        <v>544910.27809857787</v>
      </c>
      <c r="M69" s="355">
        <v>55</v>
      </c>
      <c r="N69" s="361">
        <f t="shared" si="48"/>
        <v>3333.3333333333335</v>
      </c>
      <c r="O69" s="364">
        <f t="shared" si="49"/>
        <v>1040</v>
      </c>
      <c r="P69" s="361">
        <f t="shared" si="50"/>
        <v>500000</v>
      </c>
    </row>
    <row r="70" spans="2:16">
      <c r="B70" s="355">
        <v>56</v>
      </c>
      <c r="C70" s="361">
        <f t="shared" si="51"/>
        <v>3333.3333333333335</v>
      </c>
      <c r="D70" s="362">
        <f t="shared" si="52"/>
        <v>15.601482348499969</v>
      </c>
      <c r="E70" s="362">
        <f t="shared" si="53"/>
        <v>213.65491168560803</v>
      </c>
      <c r="F70" s="367">
        <f t="shared" si="57"/>
        <v>34991.683716287647</v>
      </c>
      <c r="G70" s="362"/>
      <c r="H70" s="364">
        <f t="shared" si="54"/>
        <v>1196.7842164772533</v>
      </c>
      <c r="I70" s="364">
        <f t="shared" si="55"/>
        <v>0</v>
      </c>
      <c r="J70" s="357">
        <f t="shared" si="56"/>
        <v>0</v>
      </c>
      <c r="K70" s="361">
        <f t="shared" si="47"/>
        <v>545922.13584395556</v>
      </c>
      <c r="M70" s="355">
        <v>56</v>
      </c>
      <c r="N70" s="361">
        <f t="shared" si="48"/>
        <v>3333.3333333333335</v>
      </c>
      <c r="O70" s="364">
        <f t="shared" si="49"/>
        <v>1040</v>
      </c>
      <c r="P70" s="361">
        <f t="shared" si="50"/>
        <v>500000</v>
      </c>
    </row>
    <row r="71" spans="2:16">
      <c r="B71" s="355">
        <v>57</v>
      </c>
      <c r="C71" s="361">
        <f t="shared" si="51"/>
        <v>3333.3333333333335</v>
      </c>
      <c r="D71" s="362">
        <f t="shared" si="52"/>
        <v>15.725890759645971</v>
      </c>
      <c r="E71" s="362">
        <f t="shared" si="53"/>
        <v>211.96467559643503</v>
      </c>
      <c r="F71" s="367">
        <f t="shared" si="57"/>
        <v>34779.719040691212</v>
      </c>
      <c r="G71" s="362"/>
      <c r="H71" s="364">
        <f t="shared" si="54"/>
        <v>1213.6865773689831</v>
      </c>
      <c r="I71" s="364">
        <f t="shared" si="55"/>
        <v>0</v>
      </c>
      <c r="J71" s="357">
        <f t="shared" si="56"/>
        <v>0</v>
      </c>
      <c r="K71" s="361">
        <f t="shared" si="47"/>
        <v>546942.06228508893</v>
      </c>
      <c r="M71" s="355">
        <v>57</v>
      </c>
      <c r="N71" s="361">
        <f t="shared" si="48"/>
        <v>3333.3333333333335</v>
      </c>
      <c r="O71" s="364">
        <f t="shared" si="49"/>
        <v>1040</v>
      </c>
      <c r="P71" s="361">
        <f t="shared" si="50"/>
        <v>500000</v>
      </c>
    </row>
    <row r="72" spans="2:16">
      <c r="B72" s="355">
        <v>58</v>
      </c>
      <c r="C72" s="361">
        <f t="shared" si="51"/>
        <v>3333.3333333333335</v>
      </c>
      <c r="D72" s="362">
        <f t="shared" si="52"/>
        <v>15.851291220932987</v>
      </c>
      <c r="E72" s="362">
        <f t="shared" si="53"/>
        <v>210.28781106055143</v>
      </c>
      <c r="F72" s="367">
        <f t="shared" si="57"/>
        <v>34569.43122963066</v>
      </c>
      <c r="G72" s="362"/>
      <c r="H72" s="364">
        <f t="shared" si="54"/>
        <v>1230.4552227278193</v>
      </c>
      <c r="I72" s="364">
        <f t="shared" si="55"/>
        <v>0</v>
      </c>
      <c r="J72" s="357">
        <f t="shared" si="56"/>
        <v>0</v>
      </c>
      <c r="K72" s="361">
        <f t="shared" si="47"/>
        <v>547970.12176289107</v>
      </c>
      <c r="M72" s="355">
        <v>58</v>
      </c>
      <c r="N72" s="361">
        <f t="shared" si="48"/>
        <v>3333.3333333333335</v>
      </c>
      <c r="O72" s="364">
        <f t="shared" si="49"/>
        <v>1040</v>
      </c>
      <c r="P72" s="361">
        <f t="shared" si="50"/>
        <v>500000</v>
      </c>
    </row>
    <row r="73" spans="2:16">
      <c r="B73" s="355">
        <v>59</v>
      </c>
      <c r="C73" s="361">
        <f t="shared" si="51"/>
        <v>3333.3333333333335</v>
      </c>
      <c r="D73" s="362">
        <f t="shared" si="52"/>
        <v>15.977691643108157</v>
      </c>
      <c r="E73" s="362">
        <f t="shared" si="53"/>
        <v>208.62421229484289</v>
      </c>
      <c r="F73" s="367">
        <f t="shared" si="57"/>
        <v>34360.807017335814</v>
      </c>
      <c r="G73" s="362"/>
      <c r="H73" s="364">
        <f t="shared" si="54"/>
        <v>1247.0912103849043</v>
      </c>
      <c r="I73" s="364">
        <f t="shared" si="55"/>
        <v>0</v>
      </c>
      <c r="J73" s="357">
        <f t="shared" si="56"/>
        <v>0</v>
      </c>
      <c r="K73" s="361">
        <f t="shared" si="47"/>
        <v>549006.37913133856</v>
      </c>
      <c r="M73" s="355">
        <v>59</v>
      </c>
      <c r="N73" s="361">
        <f t="shared" si="48"/>
        <v>3333.3333333333335</v>
      </c>
      <c r="O73" s="364">
        <f t="shared" si="49"/>
        <v>1040</v>
      </c>
      <c r="P73" s="361">
        <f t="shared" si="50"/>
        <v>500000</v>
      </c>
    </row>
    <row r="74" spans="2:16">
      <c r="B74" s="355">
        <v>60</v>
      </c>
      <c r="C74" s="361">
        <f t="shared" si="51"/>
        <v>3333.3333333333335</v>
      </c>
      <c r="D74" s="362">
        <f t="shared" si="52"/>
        <v>16.105100000000025</v>
      </c>
      <c r="E74" s="362">
        <f t="shared" si="53"/>
        <v>206.97377435305143</v>
      </c>
      <c r="F74" s="357">
        <f t="shared" si="57"/>
        <v>34153.833242982764</v>
      </c>
      <c r="G74" s="362"/>
      <c r="H74" s="364">
        <f t="shared" si="54"/>
        <v>1263.5955898028194</v>
      </c>
      <c r="I74" s="364">
        <f t="shared" si="55"/>
        <v>0</v>
      </c>
      <c r="J74" s="357">
        <f t="shared" si="56"/>
        <v>0</v>
      </c>
      <c r="K74" s="361">
        <f t="shared" si="47"/>
        <v>550050.89976156258</v>
      </c>
      <c r="M74" s="355">
        <v>60</v>
      </c>
      <c r="N74" s="361">
        <f t="shared" si="48"/>
        <v>3333.3333333333335</v>
      </c>
      <c r="O74" s="364">
        <f t="shared" si="49"/>
        <v>1040</v>
      </c>
      <c r="P74" s="361">
        <f t="shared" si="50"/>
        <v>500000</v>
      </c>
    </row>
    <row r="75" spans="2:16">
      <c r="B75" s="523" t="s">
        <v>312</v>
      </c>
      <c r="C75" s="524">
        <f>SUM(C63:C74)</f>
        <v>40000</v>
      </c>
      <c r="D75" s="525"/>
      <c r="E75" s="528"/>
      <c r="F75" s="527"/>
      <c r="G75" s="528"/>
      <c r="H75" s="528"/>
      <c r="I75" s="528"/>
      <c r="J75" s="532">
        <f>IF($C$3 = "Debt Fund",  SUM(J63:J74), IF( SUM(H63:H74) &gt;100000, (SUM(H63:H74) - 100000) * 10.4%,0))</f>
        <v>0</v>
      </c>
      <c r="K75" s="533"/>
      <c r="M75" s="523" t="s">
        <v>312</v>
      </c>
      <c r="N75" s="524">
        <f t="shared" ref="N75" si="58">SUM(N63:N74)</f>
        <v>40000</v>
      </c>
      <c r="O75" s="529">
        <f t="shared" ref="O75" si="59">SUM(O63:O74)</f>
        <v>12480</v>
      </c>
      <c r="P75" s="532"/>
    </row>
    <row r="76" spans="2:16">
      <c r="B76" s="523" t="s">
        <v>313</v>
      </c>
      <c r="C76" s="524">
        <f>C75-J75</f>
        <v>40000</v>
      </c>
      <c r="D76" s="530"/>
      <c r="E76" s="530"/>
      <c r="F76" s="530"/>
      <c r="G76" s="530"/>
      <c r="H76" s="530"/>
      <c r="I76" s="530"/>
      <c r="J76" s="534">
        <f>IFERROR(J75/C75,0)</f>
        <v>0</v>
      </c>
      <c r="K76" s="535"/>
      <c r="M76" s="523" t="s">
        <v>313</v>
      </c>
      <c r="N76" s="524">
        <f>N75-O75</f>
        <v>27520</v>
      </c>
      <c r="O76" s="531">
        <f>IFERROR(O75/N75, 0)</f>
        <v>0.312</v>
      </c>
      <c r="P76" s="534"/>
    </row>
  </sheetData>
  <sheetProtection formatColumns="0"/>
  <mergeCells count="8">
    <mergeCell ref="G1:I1"/>
    <mergeCell ref="D2:E2"/>
    <mergeCell ref="G2:I2"/>
    <mergeCell ref="B3:B4"/>
    <mergeCell ref="C3:C4"/>
    <mergeCell ref="D3:E3"/>
    <mergeCell ref="G3:I3"/>
    <mergeCell ref="G4:I4"/>
  </mergeCells>
  <pageMargins left="0.7" right="0.7" top="0.75" bottom="0.75" header="0.3" footer="0.3"/>
  <pageSetup scale="92" orientation="landscape" cellComments="asDisplayed" r:id="rId1"/>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C1:E12"/>
  <sheetViews>
    <sheetView showGridLines="0" workbookViewId="0">
      <selection activeCell="D4" sqref="D4"/>
    </sheetView>
  </sheetViews>
  <sheetFormatPr defaultColWidth="8.7109375" defaultRowHeight="15"/>
  <cols>
    <col min="1" max="2" width="8.7109375" style="258"/>
    <col min="3" max="3" width="40.140625" style="258" customWidth="1"/>
    <col min="4" max="4" width="15.5703125" style="258" customWidth="1"/>
    <col min="5" max="16384" width="8.7109375" style="258"/>
  </cols>
  <sheetData>
    <row r="1" spans="3:5">
      <c r="C1" s="685" t="s">
        <v>266</v>
      </c>
      <c r="D1" s="685"/>
    </row>
    <row r="2" spans="3:5">
      <c r="C2" s="685"/>
      <c r="D2" s="685"/>
    </row>
    <row r="3" spans="3:5" ht="15.75" thickBot="1"/>
    <row r="4" spans="3:5" s="261" customFormat="1" ht="30" customHeight="1" thickTop="1" thickBot="1">
      <c r="C4" s="292" t="s">
        <v>267</v>
      </c>
      <c r="D4" s="559">
        <v>10000</v>
      </c>
      <c r="E4" s="293"/>
    </row>
    <row r="5" spans="3:5" s="261" customFormat="1" ht="30" customHeight="1" thickTop="1" thickBot="1">
      <c r="C5" s="292" t="s">
        <v>268</v>
      </c>
      <c r="D5" s="559">
        <v>15</v>
      </c>
      <c r="E5" s="293"/>
    </row>
    <row r="6" spans="3:5" s="261" customFormat="1" ht="30" customHeight="1" thickTop="1" thickBot="1">
      <c r="C6" s="292" t="s">
        <v>269</v>
      </c>
      <c r="D6" s="560">
        <v>0.14000000000000001</v>
      </c>
      <c r="E6" s="293"/>
    </row>
    <row r="7" spans="3:5" s="261" customFormat="1" ht="12.6" customHeight="1" thickTop="1">
      <c r="C7" s="294"/>
      <c r="D7" s="294"/>
      <c r="E7" s="293"/>
    </row>
    <row r="8" spans="3:5" ht="30" customHeight="1">
      <c r="C8" s="292" t="s">
        <v>270</v>
      </c>
      <c r="D8" s="561" t="s">
        <v>294</v>
      </c>
    </row>
    <row r="9" spans="3:5" ht="30" customHeight="1">
      <c r="C9" s="295" t="str">
        <f>IF(D8="Percentage","SIP Top-Up %","")</f>
        <v/>
      </c>
      <c r="D9" s="296">
        <v>0.1</v>
      </c>
    </row>
    <row r="10" spans="3:5" ht="30" customHeight="1" thickBot="1">
      <c r="C10" s="295" t="str">
        <f>IF(D8="Amount","SIP Top-Up Amount","")</f>
        <v>SIP Top-Up Amount</v>
      </c>
      <c r="D10" s="562">
        <v>1000</v>
      </c>
    </row>
    <row r="11" spans="3:5" ht="30" customHeight="1" thickTop="1" thickBot="1">
      <c r="C11" s="292" t="s">
        <v>271</v>
      </c>
      <c r="D11" s="559">
        <v>30000</v>
      </c>
    </row>
    <row r="12" spans="3:5" ht="15.75" thickTop="1">
      <c r="D12" s="563"/>
    </row>
  </sheetData>
  <mergeCells count="1">
    <mergeCell ref="C1:D2"/>
  </mergeCells>
  <conditionalFormatting sqref="C9">
    <cfRule type="expression" dxfId="33" priority="4">
      <formula>D8="Percentage"</formula>
    </cfRule>
  </conditionalFormatting>
  <conditionalFormatting sqref="D9">
    <cfRule type="expression" dxfId="32" priority="3">
      <formula>D8="Percentage"</formula>
    </cfRule>
  </conditionalFormatting>
  <conditionalFormatting sqref="C10">
    <cfRule type="expression" dxfId="31" priority="2">
      <formula>D8="Amount"</formula>
    </cfRule>
  </conditionalFormatting>
  <conditionalFormatting sqref="D10">
    <cfRule type="expression" dxfId="30" priority="1">
      <formula>D8="Amount"</formula>
    </cfRule>
  </conditionalFormatting>
  <dataValidations count="2">
    <dataValidation type="list" showInputMessage="1" showErrorMessage="1" sqref="D8" xr:uid="{00000000-0002-0000-1200-000000000000}">
      <formula1>"Percentage, Amount"</formula1>
    </dataValidation>
    <dataValidation type="whole" allowBlank="1" showInputMessage="1" showErrorMessage="1" errorTitle="Ooops!" error="Enter value between 1 to 30" promptTitle="Rule" prompt="Enter any value between 1 to 30" sqref="D5" xr:uid="{00000000-0002-0000-1200-000001000000}">
      <formula1>1</formula1>
      <formula2>30</formula2>
    </dataValidation>
  </dataValidations>
  <pageMargins left="0.7" right="0.7" top="0.75" bottom="0.75" header="0.3" footer="0.3"/>
  <pageSetup paperSize="9" orientation="portrait" verticalDpi="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5"/>
  <dimension ref="A1:XFC23"/>
  <sheetViews>
    <sheetView showGridLines="0" workbookViewId="0">
      <selection activeCell="G2" sqref="G2"/>
    </sheetView>
  </sheetViews>
  <sheetFormatPr defaultColWidth="0" defaultRowHeight="15.95" customHeight="1" zeroHeight="1"/>
  <cols>
    <col min="1" max="1" width="4.140625" style="33" customWidth="1"/>
    <col min="2" max="7" width="14.7109375" style="33" customWidth="1"/>
    <col min="8" max="8" width="1.28515625" style="33" customWidth="1"/>
    <col min="9" max="10" width="9.140625" style="33" customWidth="1"/>
    <col min="11" max="11" width="10.7109375" style="33" bestFit="1" customWidth="1"/>
    <col min="12" max="12" width="10.85546875" style="33" customWidth="1"/>
    <col min="13" max="13" width="9.140625" style="33" customWidth="1"/>
    <col min="14" max="14" width="6.5703125" style="33" customWidth="1"/>
    <col min="15" max="17" width="9.140625" style="33" customWidth="1"/>
    <col min="18" max="18" width="0.7109375" style="33" customWidth="1"/>
    <col min="19" max="16383" width="9.140625" style="33" hidden="1"/>
    <col min="16384" max="16384" width="1.42578125" style="33" hidden="1"/>
  </cols>
  <sheetData>
    <row r="1" spans="1:17" ht="27" customHeight="1">
      <c r="A1" s="54"/>
      <c r="B1" s="434" t="s">
        <v>152</v>
      </c>
      <c r="C1" s="435"/>
      <c r="D1" s="435"/>
      <c r="E1" s="435"/>
      <c r="F1" s="435"/>
      <c r="G1" s="435"/>
      <c r="H1" s="56"/>
    </row>
    <row r="2" spans="1:17" s="34" customFormat="1" ht="15.95" customHeight="1">
      <c r="A2" s="57"/>
      <c r="B2" s="154" t="s">
        <v>138</v>
      </c>
      <c r="C2" s="145"/>
      <c r="D2" s="145"/>
      <c r="E2" s="145"/>
      <c r="F2" s="146"/>
      <c r="G2" s="436">
        <v>15000</v>
      </c>
      <c r="H2" s="58"/>
    </row>
    <row r="3" spans="1:17" s="34" customFormat="1" ht="15.95" customHeight="1">
      <c r="A3" s="57"/>
      <c r="B3" s="154" t="s">
        <v>132</v>
      </c>
      <c r="C3" s="145"/>
      <c r="D3" s="145"/>
      <c r="E3" s="145"/>
      <c r="F3" s="146"/>
      <c r="G3" s="436">
        <v>15</v>
      </c>
      <c r="H3" s="58"/>
    </row>
    <row r="4" spans="1:17" s="34" customFormat="1" ht="15.95" customHeight="1">
      <c r="A4" s="57"/>
      <c r="B4" s="154" t="s">
        <v>214</v>
      </c>
      <c r="C4" s="145"/>
      <c r="D4" s="145"/>
      <c r="E4" s="145"/>
      <c r="F4" s="146"/>
      <c r="G4" s="437">
        <v>0.15</v>
      </c>
      <c r="H4" s="58"/>
      <c r="K4" s="35" t="s">
        <v>27</v>
      </c>
      <c r="L4" s="35" t="s">
        <v>26</v>
      </c>
    </row>
    <row r="5" spans="1:17" ht="15.95" customHeight="1">
      <c r="A5" s="59"/>
      <c r="B5" s="438" t="s">
        <v>136</v>
      </c>
      <c r="C5" s="439"/>
      <c r="D5" s="439"/>
      <c r="E5" s="439"/>
      <c r="F5" s="440"/>
      <c r="G5" s="441">
        <f>FV((1+G4)^(1/12)-1,G3*12,-G2,,1)</f>
        <v>9245483.8936540671</v>
      </c>
      <c r="H5" s="60"/>
      <c r="K5" s="186">
        <f>G10/100000</f>
        <v>39.299974756877305</v>
      </c>
      <c r="L5" s="186">
        <f>G5/100000</f>
        <v>92.454838936540668</v>
      </c>
    </row>
    <row r="6" spans="1:17" ht="15.95" customHeight="1">
      <c r="A6" s="59"/>
      <c r="B6" s="152"/>
      <c r="C6" s="145"/>
      <c r="D6" s="145"/>
      <c r="E6" s="145"/>
      <c r="F6" s="145"/>
      <c r="G6" s="41"/>
      <c r="H6" s="60"/>
      <c r="K6" s="36"/>
      <c r="L6" s="36"/>
    </row>
    <row r="7" spans="1:17" ht="15.95" customHeight="1">
      <c r="A7" s="59"/>
      <c r="B7" s="154" t="s">
        <v>25</v>
      </c>
      <c r="C7" s="145"/>
      <c r="D7" s="145"/>
      <c r="E7" s="145"/>
      <c r="F7" s="146"/>
      <c r="G7" s="444">
        <v>7.0000000000000007E-2</v>
      </c>
      <c r="H7" s="60"/>
      <c r="O7"/>
      <c r="P7"/>
      <c r="Q7"/>
    </row>
    <row r="8" spans="1:17" ht="15.95" customHeight="1">
      <c r="A8" s="59"/>
      <c r="B8" s="167" t="s">
        <v>24</v>
      </c>
      <c r="C8" s="162"/>
      <c r="D8" s="162"/>
      <c r="E8" s="162"/>
      <c r="F8" s="165"/>
      <c r="G8" s="444">
        <v>0.312</v>
      </c>
      <c r="H8" s="60"/>
      <c r="K8" s="33" t="str">
        <f>TEXT(K5,"0.00")&amp;" lakhs"</f>
        <v>39.30 lakhs</v>
      </c>
      <c r="L8" s="33" t="str">
        <f>TEXT(L5,"0.00")&amp;" lakhs"</f>
        <v>92.45 lakhs</v>
      </c>
      <c r="O8"/>
      <c r="P8"/>
      <c r="Q8"/>
    </row>
    <row r="9" spans="1:17" ht="15.95" customHeight="1">
      <c r="A9" s="59"/>
      <c r="B9" s="168" t="s">
        <v>133</v>
      </c>
      <c r="C9" s="162"/>
      <c r="D9" s="162"/>
      <c r="E9" s="162"/>
      <c r="F9" s="165"/>
      <c r="G9" s="166">
        <f>G7*(1-G8)</f>
        <v>4.8160000000000001E-2</v>
      </c>
      <c r="H9" s="60"/>
      <c r="O9" s="567" t="str">
        <f>"You could've earned Rs. "&amp;TEXT(L5-K5,"0.00")&amp;" lakhs more wealth in the same time, if you had done SIP instead of FD/RD"</f>
        <v>You could've earned Rs. 53.15 lakhs more wealth in the same time, if you had done SIP instead of FD/RD</v>
      </c>
      <c r="P9" s="568"/>
      <c r="Q9" s="569"/>
    </row>
    <row r="10" spans="1:17" ht="15.95" customHeight="1">
      <c r="A10" s="59"/>
      <c r="B10" s="438" t="s">
        <v>137</v>
      </c>
      <c r="C10" s="442"/>
      <c r="D10" s="442"/>
      <c r="E10" s="442"/>
      <c r="F10" s="443"/>
      <c r="G10" s="441">
        <f>FV((1+G9)^(1/12)-1,G3*12,-SIP_GRAPH,,1)</f>
        <v>3929997.4756877301</v>
      </c>
      <c r="H10" s="60"/>
      <c r="O10" s="570"/>
      <c r="P10" s="571"/>
      <c r="Q10" s="572"/>
    </row>
    <row r="11" spans="1:17" ht="15.95" customHeight="1">
      <c r="A11" s="61"/>
      <c r="B11" s="66"/>
      <c r="C11" s="66"/>
      <c r="D11" s="66"/>
      <c r="E11" s="66"/>
      <c r="F11" s="66"/>
      <c r="G11" s="66"/>
      <c r="H11" s="63"/>
      <c r="O11" s="570"/>
      <c r="P11" s="571"/>
      <c r="Q11" s="572"/>
    </row>
    <row r="12" spans="1:17" ht="15.95" customHeight="1">
      <c r="A12" s="37"/>
      <c r="B12" s="66"/>
      <c r="C12" s="66"/>
      <c r="D12" s="66"/>
      <c r="E12" s="66"/>
      <c r="F12" s="66"/>
      <c r="G12" s="66"/>
      <c r="H12" s="37"/>
      <c r="O12" s="570"/>
      <c r="P12" s="571"/>
      <c r="Q12" s="572"/>
    </row>
    <row r="13" spans="1:17" ht="15.95" customHeight="1">
      <c r="B13" s="64" t="s">
        <v>18</v>
      </c>
      <c r="C13" s="65">
        <v>5</v>
      </c>
      <c r="D13" s="65">
        <v>10</v>
      </c>
      <c r="E13" s="65">
        <v>15</v>
      </c>
      <c r="F13" s="65">
        <v>20</v>
      </c>
      <c r="G13" s="65">
        <v>30</v>
      </c>
      <c r="H13" s="37"/>
      <c r="O13" s="570"/>
      <c r="P13" s="571"/>
      <c r="Q13" s="572"/>
    </row>
    <row r="14" spans="1:17" ht="15.95" customHeight="1">
      <c r="B14" s="194">
        <f>G9</f>
        <v>4.8160000000000001E-2</v>
      </c>
      <c r="C14" s="195">
        <f t="shared" ref="C14:C16" si="0">FV((1+B14)^(1/12)-1,$C$13*12,-$G$2,,1)</f>
        <v>1016629.5911756791</v>
      </c>
      <c r="D14" s="195">
        <f t="shared" ref="D14:D16" si="1">FV((1+B14)^(1/12)-1,$D$13*12,-$G$2,,1)</f>
        <v>2302806.3483094843</v>
      </c>
      <c r="E14" s="195">
        <f t="shared" ref="E14:E16" si="2">FV((1+B14)^(1/12)-1,$E$13*12,-$G$2,,1)</f>
        <v>3929997.4756877301</v>
      </c>
      <c r="F14" s="195">
        <f t="shared" ref="F14:F16" si="3">FV((1+B14)^(1/12)-1,$F$13*12,-$G$2,,1)</f>
        <v>5988618.8512744643</v>
      </c>
      <c r="G14" s="195">
        <f t="shared" ref="G14:G16" si="4">FV((1+B14)^(1/12)-1,$G$13*12,-$G$2,,1)</f>
        <v>11888035.368423641</v>
      </c>
      <c r="H14" s="37"/>
      <c r="O14" s="570"/>
      <c r="P14" s="571"/>
      <c r="Q14" s="572"/>
    </row>
    <row r="15" spans="1:17" ht="15.95" customHeight="1">
      <c r="B15" s="48">
        <f>G7</f>
        <v>7.0000000000000007E-2</v>
      </c>
      <c r="C15" s="49">
        <f t="shared" si="0"/>
        <v>1073976.1422117606</v>
      </c>
      <c r="D15" s="45">
        <f t="shared" si="1"/>
        <v>2580283.239201372</v>
      </c>
      <c r="E15" s="45">
        <f t="shared" si="2"/>
        <v>4692956.8650498455</v>
      </c>
      <c r="F15" s="45">
        <f t="shared" si="3"/>
        <v>7656090.9153878642</v>
      </c>
      <c r="G15" s="45">
        <f t="shared" si="4"/>
        <v>17640972.874938905</v>
      </c>
      <c r="H15" s="37"/>
      <c r="O15" s="570"/>
      <c r="P15" s="571"/>
      <c r="Q15" s="572"/>
    </row>
    <row r="16" spans="1:17" ht="15.95" customHeight="1">
      <c r="B16" s="46">
        <f>G4</f>
        <v>0.15</v>
      </c>
      <c r="C16" s="47">
        <f t="shared" si="0"/>
        <v>1310131.1258902354</v>
      </c>
      <c r="D16" s="44">
        <f t="shared" si="1"/>
        <v>3945272.7825170448</v>
      </c>
      <c r="E16" s="44">
        <f t="shared" si="2"/>
        <v>9245483.8936540671</v>
      </c>
      <c r="F16" s="44">
        <f t="shared" si="3"/>
        <v>19906101.607306942</v>
      </c>
      <c r="G16" s="44">
        <f t="shared" si="4"/>
        <v>84476556.127746314</v>
      </c>
      <c r="H16" s="37"/>
      <c r="O16" s="570"/>
      <c r="P16" s="571"/>
      <c r="Q16" s="572"/>
    </row>
    <row r="17" spans="2:17" ht="15.95" customHeight="1">
      <c r="B17" s="43">
        <v>0.08</v>
      </c>
      <c r="C17" s="39">
        <f t="shared" ref="C17:C22" si="5">FV((1+B17)^(1/12)-1,$C$13*12,-$G$2,,1)</f>
        <v>1101209.6765988281</v>
      </c>
      <c r="D17" s="40">
        <f t="shared" ref="D17:D22" si="6">FV((1+B17)^(1/12)-1,$D$13*12,-$G$2,,1)</f>
        <v>2719247.9728693338</v>
      </c>
      <c r="E17" s="40">
        <f t="shared" ref="E17:E22" si="7">FV((1+B17)^(1/12)-1,$E$13*12,-$G$2,,1)</f>
        <v>5096677.0709172208</v>
      </c>
      <c r="F17" s="40">
        <f t="shared" ref="F17:F22" si="8">FV((1+B17)^(1/12)-1,$F$13*12,-$G$2,,1)</f>
        <v>8589900.3952802811</v>
      </c>
      <c r="G17" s="38">
        <f t="shared" ref="G17:G22" si="9">FV((1+B17)^(1/12)-1,$G$13*12,-$G$2,,1)</f>
        <v>21264198.660323299</v>
      </c>
      <c r="H17" s="37"/>
      <c r="O17" s="570"/>
      <c r="P17" s="571"/>
      <c r="Q17" s="572"/>
    </row>
    <row r="18" spans="2:17" ht="15.95" customHeight="1">
      <c r="B18" s="43">
        <v>0.1</v>
      </c>
      <c r="C18" s="39">
        <f t="shared" si="5"/>
        <v>1157576.1010729736</v>
      </c>
      <c r="D18" s="38">
        <f t="shared" si="6"/>
        <v>3021863.9876120128</v>
      </c>
      <c r="E18" s="38">
        <f t="shared" si="7"/>
        <v>6024318.2717620032</v>
      </c>
      <c r="F18" s="38">
        <f t="shared" si="8"/>
        <v>10859800.920928415</v>
      </c>
      <c r="G18" s="38">
        <f t="shared" si="9"/>
        <v>31189390.744457204</v>
      </c>
      <c r="H18" s="37"/>
      <c r="O18" s="570"/>
      <c r="P18" s="571"/>
      <c r="Q18" s="572"/>
    </row>
    <row r="19" spans="2:17" ht="15.95" customHeight="1">
      <c r="B19" s="43">
        <v>0.12</v>
      </c>
      <c r="C19" s="39">
        <f t="shared" si="5"/>
        <v>1216554.1880029142</v>
      </c>
      <c r="D19" s="38">
        <f t="shared" si="6"/>
        <v>3360538.3433919926</v>
      </c>
      <c r="E19" s="38">
        <f t="shared" si="7"/>
        <v>7138970.9885545364</v>
      </c>
      <c r="F19" s="38">
        <f t="shared" si="8"/>
        <v>13797860.336288169</v>
      </c>
      <c r="G19" s="38">
        <f t="shared" si="9"/>
        <v>46214598.147836775</v>
      </c>
      <c r="H19" s="37"/>
      <c r="O19" s="570"/>
      <c r="P19" s="571"/>
      <c r="Q19" s="572"/>
    </row>
    <row r="20" spans="2:17" ht="15.95" customHeight="1">
      <c r="B20" s="43">
        <v>0.15</v>
      </c>
      <c r="C20" s="39">
        <f t="shared" si="5"/>
        <v>1310131.1258902354</v>
      </c>
      <c r="D20" s="38">
        <f t="shared" si="6"/>
        <v>3945272.7825170448</v>
      </c>
      <c r="E20" s="38">
        <f t="shared" si="7"/>
        <v>9245483.8936540671</v>
      </c>
      <c r="F20" s="38">
        <f t="shared" si="8"/>
        <v>19906101.607306942</v>
      </c>
      <c r="G20" s="38">
        <f t="shared" si="9"/>
        <v>84476556.127746314</v>
      </c>
      <c r="H20" s="37"/>
      <c r="O20" s="573"/>
      <c r="P20" s="574"/>
      <c r="Q20" s="575"/>
    </row>
    <row r="21" spans="2:17" ht="15.95" customHeight="1">
      <c r="B21" s="43">
        <v>0.18</v>
      </c>
      <c r="C21" s="39">
        <f t="shared" si="5"/>
        <v>1410140.6616411537</v>
      </c>
      <c r="D21" s="38">
        <f t="shared" si="6"/>
        <v>4636200.8984897593</v>
      </c>
      <c r="E21" s="38">
        <f t="shared" si="7"/>
        <v>12016645.229244145</v>
      </c>
      <c r="F21" s="38">
        <f t="shared" si="8"/>
        <v>28901313.995557934</v>
      </c>
      <c r="G21" s="38">
        <f t="shared" si="9"/>
        <v>155900925.63993457</v>
      </c>
      <c r="H21" s="37"/>
      <c r="J21" s="566"/>
      <c r="K21" s="566"/>
      <c r="L21" s="566"/>
      <c r="M21" s="566"/>
      <c r="N21" s="566"/>
    </row>
    <row r="22" spans="2:17" ht="15.95" customHeight="1">
      <c r="B22" s="43">
        <v>0.2</v>
      </c>
      <c r="C22" s="39">
        <f t="shared" si="5"/>
        <v>1480559.4267555047</v>
      </c>
      <c r="D22" s="38">
        <f t="shared" si="6"/>
        <v>5164665.0595397558</v>
      </c>
      <c r="E22" s="38">
        <f t="shared" si="7"/>
        <v>14331898.787709443</v>
      </c>
      <c r="F22" s="38">
        <f t="shared" si="8"/>
        <v>37142909.8181886</v>
      </c>
      <c r="G22" s="38">
        <f t="shared" si="9"/>
        <v>235143772.61473575</v>
      </c>
      <c r="H22" s="37"/>
    </row>
    <row r="23" spans="2:17" ht="15.95" customHeight="1">
      <c r="H23" s="37"/>
    </row>
  </sheetData>
  <mergeCells count="3">
    <mergeCell ref="J21:K21"/>
    <mergeCell ref="L21:N21"/>
    <mergeCell ref="O9:Q20"/>
  </mergeCells>
  <conditionalFormatting sqref="C17:G22">
    <cfRule type="cellIs" dxfId="41" priority="2" operator="equal">
      <formula>$G$5</formula>
    </cfRule>
  </conditionalFormatting>
  <dataValidations count="1">
    <dataValidation type="list" allowBlank="1" showInputMessage="1" showErrorMessage="1" sqref="G8" xr:uid="{00000000-0002-0000-0100-000000000000}">
      <formula1>"5.20%,20.80%,31.20%"</formula1>
    </dataValidation>
  </dataValidations>
  <pageMargins left="0.7" right="0.7" top="0.75" bottom="0.75" header="0.3" footer="0.3"/>
  <pageSetup orientation="landscape" r:id="rId1"/>
  <colBreaks count="1" manualBreakCount="1">
    <brk id="8" max="1048575" man="1"/>
  </colBreaks>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dimension ref="D5:F11"/>
  <sheetViews>
    <sheetView showGridLines="0" workbookViewId="0">
      <selection activeCell="E10" sqref="E10"/>
    </sheetView>
  </sheetViews>
  <sheetFormatPr defaultColWidth="8.7109375" defaultRowHeight="15"/>
  <cols>
    <col min="1" max="3" width="8.7109375" style="258"/>
    <col min="4" max="4" width="40.140625" style="258" customWidth="1"/>
    <col min="5" max="5" width="15.5703125" style="258" customWidth="1"/>
    <col min="6" max="16384" width="8.7109375" style="258"/>
  </cols>
  <sheetData>
    <row r="5" spans="4:6" ht="15.75" thickBot="1"/>
    <row r="6" spans="4:6" s="261" customFormat="1" ht="30" customHeight="1" thickTop="1" thickBot="1">
      <c r="D6" s="297" t="s">
        <v>267</v>
      </c>
      <c r="E6" s="298">
        <f>HomePage!HOME</f>
        <v>10000</v>
      </c>
      <c r="F6" s="293"/>
    </row>
    <row r="7" spans="4:6" s="261" customFormat="1" ht="30" customHeight="1" thickTop="1" thickBot="1">
      <c r="D7" s="297" t="s">
        <v>268</v>
      </c>
      <c r="E7" s="298">
        <f>HomePage!D5</f>
        <v>15</v>
      </c>
      <c r="F7" s="293"/>
    </row>
    <row r="8" spans="4:6" s="261" customFormat="1" ht="30" customHeight="1" thickTop="1" thickBot="1">
      <c r="D8" s="297" t="s">
        <v>269</v>
      </c>
      <c r="E8" s="299">
        <f>HomePage!D6</f>
        <v>0.14000000000000001</v>
      </c>
      <c r="F8" s="293"/>
    </row>
    <row r="9" spans="4:6" s="261" customFormat="1" ht="30" customHeight="1" thickTop="1" thickBot="1">
      <c r="D9" s="297" t="s">
        <v>272</v>
      </c>
      <c r="E9" s="300">
        <v>2000</v>
      </c>
      <c r="F9" s="293"/>
    </row>
    <row r="10" spans="4:6" ht="30" customHeight="1" thickTop="1" thickBot="1">
      <c r="D10" s="297" t="s">
        <v>271</v>
      </c>
      <c r="E10" s="300">
        <v>25000</v>
      </c>
    </row>
    <row r="11" spans="4:6" ht="15.75" thickTop="1"/>
  </sheetData>
  <dataValidations count="1">
    <dataValidation type="whole" allowBlank="1" showInputMessage="1" showErrorMessage="1" errorTitle="Ooops!" error="Enter value between 1 to 30" promptTitle="Rule" prompt="Enter any value between 1 to 30" sqref="E7" xr:uid="{00000000-0002-0000-1300-000000000000}">
      <formula1>1</formula1>
      <formula2>30</formula2>
    </dataValidation>
  </dataValidations>
  <pageMargins left="0.7" right="0.7" top="0.75" bottom="0.75" header="0.3" footer="0.3"/>
  <pageSetup paperSize="9" orientation="portrait" verticalDpi="0" r:id="rId1"/>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dimension ref="D5:F11"/>
  <sheetViews>
    <sheetView showGridLines="0" workbookViewId="0">
      <selection activeCell="E10" sqref="E10"/>
    </sheetView>
  </sheetViews>
  <sheetFormatPr defaultColWidth="8.7109375" defaultRowHeight="15"/>
  <cols>
    <col min="1" max="3" width="8.7109375" style="258"/>
    <col min="4" max="4" width="40.140625" style="258" bestFit="1" customWidth="1"/>
    <col min="5" max="5" width="15.5703125" style="258" bestFit="1" customWidth="1"/>
    <col min="6" max="16384" width="8.7109375" style="258"/>
  </cols>
  <sheetData>
    <row r="5" spans="4:6" ht="15.75" thickBot="1"/>
    <row r="6" spans="4:6" s="261" customFormat="1" ht="30" customHeight="1" thickTop="1" thickBot="1">
      <c r="D6" s="297" t="s">
        <v>267</v>
      </c>
      <c r="E6" s="298">
        <f>HomePage!HOME</f>
        <v>10000</v>
      </c>
      <c r="F6" s="293"/>
    </row>
    <row r="7" spans="4:6" s="261" customFormat="1" ht="30" customHeight="1" thickTop="1" thickBot="1">
      <c r="D7" s="297" t="s">
        <v>268</v>
      </c>
      <c r="E7" s="298">
        <f>HomePage!D5</f>
        <v>15</v>
      </c>
      <c r="F7" s="293"/>
    </row>
    <row r="8" spans="4:6" s="261" customFormat="1" ht="30" customHeight="1" thickTop="1" thickBot="1">
      <c r="D8" s="297" t="s">
        <v>269</v>
      </c>
      <c r="E8" s="299">
        <f>HomePage!D6</f>
        <v>0.14000000000000001</v>
      </c>
      <c r="F8" s="293"/>
    </row>
    <row r="9" spans="4:6" s="261" customFormat="1" ht="30" customHeight="1" thickTop="1" thickBot="1">
      <c r="D9" s="297" t="s">
        <v>273</v>
      </c>
      <c r="E9" s="301">
        <v>0.2</v>
      </c>
      <c r="F9" s="293"/>
    </row>
    <row r="10" spans="4:6" ht="30" customHeight="1" thickTop="1" thickBot="1">
      <c r="D10" s="297" t="s">
        <v>271</v>
      </c>
      <c r="E10" s="300">
        <v>25000</v>
      </c>
    </row>
    <row r="11" spans="4:6" ht="15.75" thickTop="1"/>
  </sheetData>
  <sheetProtection selectLockedCells="1"/>
  <dataValidations count="1">
    <dataValidation type="whole" allowBlank="1" showInputMessage="1" showErrorMessage="1" errorTitle="Ooops!" error="Enter value between 1 to 30" promptTitle="Rule" prompt="Enter any value between 1 to 30" sqref="E7" xr:uid="{00000000-0002-0000-1400-000000000000}">
      <formula1>1</formula1>
      <formula2>30</formula2>
    </dataValidation>
  </dataValidations>
  <pageMargins left="0.7" right="0.7" top="0.75" bottom="0.75" header="0.3" footer="0.3"/>
  <pageSetup paperSize="9" orientation="portrait" verticalDpi="0" r:id="rId1"/>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dimension ref="A4:EZ39"/>
  <sheetViews>
    <sheetView showGridLines="0" topLeftCell="A15" zoomScale="80" zoomScaleNormal="80" workbookViewId="0">
      <selection activeCell="M20" sqref="M20"/>
    </sheetView>
  </sheetViews>
  <sheetFormatPr defaultColWidth="8.7109375" defaultRowHeight="15"/>
  <cols>
    <col min="1" max="1" width="10.42578125" style="258" customWidth="1"/>
    <col min="2" max="2" width="5.85546875" style="258" bestFit="1" customWidth="1"/>
    <col min="3" max="3" width="14.5703125" style="258" bestFit="1" customWidth="1"/>
    <col min="4" max="5" width="9.7109375" style="258" customWidth="1"/>
    <col min="6" max="11" width="10.5703125" style="258" bestFit="1" customWidth="1"/>
    <col min="12" max="16" width="11.5703125" style="258" bestFit="1" customWidth="1"/>
    <col min="17" max="31" width="14.28515625" style="258" customWidth="1"/>
    <col min="32" max="32" width="16.5703125" style="258" bestFit="1" customWidth="1"/>
    <col min="33" max="155" width="8.7109375" style="258"/>
    <col min="156" max="156" width="0" style="258" hidden="1" customWidth="1"/>
    <col min="157" max="16384" width="8.7109375" style="258"/>
  </cols>
  <sheetData>
    <row r="4" spans="1:156">
      <c r="A4" s="291" t="str">
        <f>IF(B4="","",IF(ISBLANK(HomePage!$D$8),HOME,IF(HomePage!$D$8="Percentage",IF(NOT(HomePage!$D$11&gt;0),A5*(1+HomePage!$D$9),IF(A5*(1+HomePage!$D$9)&gt;HomePage!$D$11,HomePage!$D$11,A5*(1+HomePage!$D$9))),IF(NOT(HomePage!$D$11&gt;0),A5+HomePage!$D$10,IF((A5+HomePage!$D$10)&gt;HomePage!$D$11,HomePage!$D$11,(A5+HomePage!$D$10))))))</f>
        <v/>
      </c>
      <c r="B4" s="302" t="str">
        <f>IF(B5="","",IF((B5+1)&gt;HomePage!$D$5,"",(B5+1)))</f>
        <v/>
      </c>
      <c r="AF4" s="303" t="str">
        <f>IF(AF$34="","",FV((1+PERCENT!$E$8)^(1/12)-1,12,-$A4,,1))</f>
        <v/>
      </c>
      <c r="EZ4" s="258">
        <f>IF(B4="",0,12)</f>
        <v>0</v>
      </c>
    </row>
    <row r="5" spans="1:156">
      <c r="A5" s="291" t="str">
        <f>IF(B5="","",IF(ISBLANK(HomePage!$D$8),HOME,IF(HomePage!$D$8="Percentage",IF(NOT(HomePage!$D$11&gt;0),A6*(1+HomePage!$D$9),IF(A6*(1+HomePage!$D$9)&gt;HomePage!$D$11,HomePage!$D$11,A6*(1+HomePage!$D$9))),IF(NOT(HomePage!$D$11&gt;0),A6+HomePage!$D$10,IF((A6+HomePage!$D$10)&gt;HomePage!$D$11,HomePage!$D$11,(A6+HomePage!$D$10))))))</f>
        <v/>
      </c>
      <c r="B5" s="302" t="str">
        <f>IF(B6="","",IF((B6+1)&gt;HomePage!$D$5,"",(B6+1)))</f>
        <v/>
      </c>
      <c r="AE5" s="303" t="str">
        <f>IF(AE$34="","",FV((1+PERCENT!$E$8)^(1/12)-1,12,-$A5,,1))</f>
        <v/>
      </c>
      <c r="AF5" s="303" t="str">
        <f>IF(AF$34="","",FV(PERCENT!$E$8,1,,-RESULT!AE5,))</f>
        <v/>
      </c>
      <c r="EZ5" s="258">
        <f t="shared" ref="EZ5:EZ33" si="0">IF(B5="",0,12)</f>
        <v>0</v>
      </c>
    </row>
    <row r="6" spans="1:156">
      <c r="A6" s="291" t="str">
        <f>IF(B6="","",IF(ISBLANK(HomePage!$D$8),HOME,IF(HomePage!$D$8="Percentage",IF(NOT(HomePage!$D$11&gt;0),A7*(1+HomePage!$D$9),IF(A7*(1+HomePage!$D$9)&gt;HomePage!$D$11,HomePage!$D$11,A7*(1+HomePage!$D$9))),IF(NOT(HomePage!$D$11&gt;0),A7+HomePage!$D$10,IF((A7+HomePage!$D$10)&gt;HomePage!$D$11,HomePage!$D$11,(A7+HomePage!$D$10))))))</f>
        <v/>
      </c>
      <c r="B6" s="302" t="str">
        <f>IF(B7="","",IF((B7+1)&gt;HomePage!$D$5,"",(B7+1)))</f>
        <v/>
      </c>
      <c r="AD6" s="303" t="str">
        <f>IF(AD$34="","",FV((1+PERCENT!$E$8)^(1/12)-1,12,-$A6,,1))</f>
        <v/>
      </c>
      <c r="AE6" s="303" t="str">
        <f>IF(AE$34="","",FV(PERCENT!$E$8,1,,-RESULT!AD6,))</f>
        <v/>
      </c>
      <c r="AF6" s="303" t="str">
        <f>IF(AF$34="","",FV(PERCENT!$E$8,1,,-RESULT!AE6,))</f>
        <v/>
      </c>
      <c r="EZ6" s="258">
        <f t="shared" si="0"/>
        <v>0</v>
      </c>
    </row>
    <row r="7" spans="1:156">
      <c r="A7" s="291" t="str">
        <f>IF(B7="","",IF(ISBLANK(HomePage!$D$8),HOME,IF(HomePage!$D$8="Percentage",IF(NOT(HomePage!$D$11&gt;0),A8*(1+HomePage!$D$9),IF(A8*(1+HomePage!$D$9)&gt;HomePage!$D$11,HomePage!$D$11,A8*(1+HomePage!$D$9))),IF(NOT(HomePage!$D$11&gt;0),A8+HomePage!$D$10,IF((A8+HomePage!$D$10)&gt;HomePage!$D$11,HomePage!$D$11,(A8+HomePage!$D$10))))))</f>
        <v/>
      </c>
      <c r="B7" s="302" t="str">
        <f>IF(B8="","",IF((B8+1)&gt;HomePage!$D$5,"",(B8+1)))</f>
        <v/>
      </c>
      <c r="AC7" s="303" t="str">
        <f>IF(AC$34="","",FV((1+PERCENT!$E$8)^(1/12)-1,12,-$A7,,1))</f>
        <v/>
      </c>
      <c r="AD7" s="303" t="str">
        <f>IF(AD$34="","",FV(PERCENT!$E$8,1,,-RESULT!AC7,))</f>
        <v/>
      </c>
      <c r="AE7" s="303" t="str">
        <f>IF(AE$34="","",FV(PERCENT!$E$8,1,,-RESULT!AD7,))</f>
        <v/>
      </c>
      <c r="AF7" s="303" t="str">
        <f>IF(AF$34="","",FV(PERCENT!$E$8,1,,-RESULT!AE7,))</f>
        <v/>
      </c>
      <c r="EZ7" s="258">
        <f t="shared" si="0"/>
        <v>0</v>
      </c>
    </row>
    <row r="8" spans="1:156">
      <c r="A8" s="291" t="str">
        <f>IF(B8="","",IF(ISBLANK(HomePage!$D$8),HOME,IF(HomePage!$D$8="Percentage",IF(NOT(HomePage!$D$11&gt;0),A9*(1+HomePage!$D$9),IF(A9*(1+HomePage!$D$9)&gt;HomePage!$D$11,HomePage!$D$11,A9*(1+HomePage!$D$9))),IF(NOT(HomePage!$D$11&gt;0),A9+HomePage!$D$10,IF((A9+HomePage!$D$10)&gt;HomePage!$D$11,HomePage!$D$11,(A9+HomePage!$D$10))))))</f>
        <v/>
      </c>
      <c r="B8" s="302" t="str">
        <f>IF(B9="","",IF((B9+1)&gt;HomePage!$D$5,"",(B9+1)))</f>
        <v/>
      </c>
      <c r="AB8" s="303" t="str">
        <f>IF(AB$34="","",FV((1+PERCENT!$E$8)^(1/12)-1,12,-$A8,,1))</f>
        <v/>
      </c>
      <c r="AC8" s="303" t="str">
        <f>IF(AC$34="","",FV(PERCENT!$E$8,1,,-RESULT!AB8,))</f>
        <v/>
      </c>
      <c r="AD8" s="303" t="str">
        <f>IF(AD$34="","",FV(PERCENT!$E$8,1,,-RESULT!AC8,))</f>
        <v/>
      </c>
      <c r="AE8" s="303" t="str">
        <f>IF(AE$34="","",FV(PERCENT!$E$8,1,,-RESULT!AD8,))</f>
        <v/>
      </c>
      <c r="AF8" s="303" t="str">
        <f>IF(AF$34="","",FV(PERCENT!$E$8,1,,-RESULT!AE8,))</f>
        <v/>
      </c>
      <c r="EZ8" s="258">
        <f t="shared" si="0"/>
        <v>0</v>
      </c>
    </row>
    <row r="9" spans="1:156">
      <c r="A9" s="291" t="str">
        <f>IF(B9="","",IF(ISBLANK(HomePage!$D$8),HOME,IF(HomePage!$D$8="Percentage",IF(NOT(HomePage!$D$11&gt;0),A10*(1+HomePage!$D$9),IF(A10*(1+HomePage!$D$9)&gt;HomePage!$D$11,HomePage!$D$11,A10*(1+HomePage!$D$9))),IF(NOT(HomePage!$D$11&gt;0),A10+HomePage!$D$10,IF((A10+HomePage!$D$10)&gt;HomePage!$D$11,HomePage!$D$11,(A10+HomePage!$D$10))))))</f>
        <v/>
      </c>
      <c r="B9" s="302" t="str">
        <f>IF(B10="","",IF((B10+1)&gt;HomePage!$D$5,"",(B10+1)))</f>
        <v/>
      </c>
      <c r="AA9" s="303" t="str">
        <f>IF(AA$34="","",FV((1+PERCENT!$E$8)^(1/12)-1,12,-$A9,,1))</f>
        <v/>
      </c>
      <c r="AB9" s="303" t="str">
        <f>IF(AB$34="","",FV(PERCENT!$E$8,1,,-RESULT!AA9,))</f>
        <v/>
      </c>
      <c r="AC9" s="303" t="str">
        <f>IF(AC$34="","",FV(PERCENT!$E$8,1,,-RESULT!AB9,))</f>
        <v/>
      </c>
      <c r="AD9" s="303" t="str">
        <f>IF(AD$34="","",FV(PERCENT!$E$8,1,,-RESULT!AC9,))</f>
        <v/>
      </c>
      <c r="AE9" s="303" t="str">
        <f>IF(AE$34="","",FV(PERCENT!$E$8,1,,-RESULT!AD9,))</f>
        <v/>
      </c>
      <c r="AF9" s="303" t="str">
        <f>IF(AF$34="","",FV(PERCENT!$E$8,1,,-RESULT!AE9,))</f>
        <v/>
      </c>
      <c r="EZ9" s="258">
        <f t="shared" si="0"/>
        <v>0</v>
      </c>
    </row>
    <row r="10" spans="1:156">
      <c r="A10" s="291" t="str">
        <f>IF(B10="","",IF(ISBLANK(HomePage!$D$8),HOME,IF(HomePage!$D$8="Percentage",IF(NOT(HomePage!$D$11&gt;0),A11*(1+HomePage!$D$9),IF(A11*(1+HomePage!$D$9)&gt;HomePage!$D$11,HomePage!$D$11,A11*(1+HomePage!$D$9))),IF(NOT(HomePage!$D$11&gt;0),A11+HomePage!$D$10,IF((A11+HomePage!$D$10)&gt;HomePage!$D$11,HomePage!$D$11,(A11+HomePage!$D$10))))))</f>
        <v/>
      </c>
      <c r="B10" s="302" t="str">
        <f>IF(B11="","",IF((B11+1)&gt;HomePage!$D$5,"",(B11+1)))</f>
        <v/>
      </c>
      <c r="Z10" s="303" t="str">
        <f>IF(Z$34="","",FV((1+PERCENT!$E$8)^(1/12)-1,12,-$A10,,1))</f>
        <v/>
      </c>
      <c r="AA10" s="303" t="str">
        <f>IF(AA$34="","",FV(PERCENT!$E$8,1,,-RESULT!Z10,))</f>
        <v/>
      </c>
      <c r="AB10" s="303" t="str">
        <f>IF(AB$34="","",FV(PERCENT!$E$8,1,,-RESULT!AA10,))</f>
        <v/>
      </c>
      <c r="AC10" s="303" t="str">
        <f>IF(AC$34="","",FV(PERCENT!$E$8,1,,-RESULT!AB10,))</f>
        <v/>
      </c>
      <c r="AD10" s="303" t="str">
        <f>IF(AD$34="","",FV(PERCENT!$E$8,1,,-RESULT!AC10,))</f>
        <v/>
      </c>
      <c r="AE10" s="303" t="str">
        <f>IF(AE$34="","",FV(PERCENT!$E$8,1,,-RESULT!AD10,))</f>
        <v/>
      </c>
      <c r="AF10" s="303" t="str">
        <f>IF(AF$34="","",FV(PERCENT!$E$8,1,,-RESULT!AE10,))</f>
        <v/>
      </c>
      <c r="EZ10" s="258">
        <f t="shared" si="0"/>
        <v>0</v>
      </c>
    </row>
    <row r="11" spans="1:156">
      <c r="A11" s="291" t="str">
        <f>IF(B11="","",IF(ISBLANK(HomePage!$D$8),HOME,IF(HomePage!$D$8="Percentage",IF(NOT(HomePage!$D$11&gt;0),A12*(1+HomePage!$D$9),IF(A12*(1+HomePage!$D$9)&gt;HomePage!$D$11,HomePage!$D$11,A12*(1+HomePage!$D$9))),IF(NOT(HomePage!$D$11&gt;0),A12+HomePage!$D$10,IF((A12+HomePage!$D$10)&gt;HomePage!$D$11,HomePage!$D$11,(A12+HomePage!$D$10))))))</f>
        <v/>
      </c>
      <c r="B11" s="302" t="str">
        <f>IF(B12="","",IF((B12+1)&gt;HomePage!$D$5,"",(B12+1)))</f>
        <v/>
      </c>
      <c r="Y11" s="303" t="str">
        <f>IF(Y$34="","",FV((1+PERCENT!$E$8)^(1/12)-1,12,-$A11,,1))</f>
        <v/>
      </c>
      <c r="Z11" s="303" t="str">
        <f>IF(Z$34="","",FV(PERCENT!$E$8,1,,-RESULT!Y11,))</f>
        <v/>
      </c>
      <c r="AA11" s="303" t="str">
        <f>IF(AA$34="","",FV(PERCENT!$E$8,1,,-RESULT!Z11,))</f>
        <v/>
      </c>
      <c r="AB11" s="303" t="str">
        <f>IF(AB$34="","",FV(PERCENT!$E$8,1,,-RESULT!AA11,))</f>
        <v/>
      </c>
      <c r="AC11" s="303" t="str">
        <f>IF(AC$34="","",FV(PERCENT!$E$8,1,,-RESULT!AB11,))</f>
        <v/>
      </c>
      <c r="AD11" s="303" t="str">
        <f>IF(AD$34="","",FV(PERCENT!$E$8,1,,-RESULT!AC11,))</f>
        <v/>
      </c>
      <c r="AE11" s="303" t="str">
        <f>IF(AE$34="","",FV(PERCENT!$E$8,1,,-RESULT!AD11,))</f>
        <v/>
      </c>
      <c r="AF11" s="303" t="str">
        <f>IF(AF$34="","",FV(PERCENT!$E$8,1,,-RESULT!AE11,))</f>
        <v/>
      </c>
      <c r="EZ11" s="258">
        <f t="shared" si="0"/>
        <v>0</v>
      </c>
    </row>
    <row r="12" spans="1:156">
      <c r="A12" s="291" t="str">
        <f>IF(B12="","",IF(ISBLANK(HomePage!$D$8),HOME,IF(HomePage!$D$8="Percentage",IF(NOT(HomePage!$D$11&gt;0),A13*(1+HomePage!$D$9),IF(A13*(1+HomePage!$D$9)&gt;HomePage!$D$11,HomePage!$D$11,A13*(1+HomePage!$D$9))),IF(NOT(HomePage!$D$11&gt;0),A13+HomePage!$D$10,IF((A13+HomePage!$D$10)&gt;HomePage!$D$11,HomePage!$D$11,(A13+HomePage!$D$10))))))</f>
        <v/>
      </c>
      <c r="B12" s="302" t="str">
        <f>IF(B13="","",IF((B13+1)&gt;HomePage!$D$5,"",(B13+1)))</f>
        <v/>
      </c>
      <c r="X12" s="303" t="str">
        <f>IF(X$34="","",FV((1+PERCENT!$E$8)^(1/12)-1,12,-$A12,,1))</f>
        <v/>
      </c>
      <c r="Y12" s="303" t="str">
        <f>IF(Y$34="","",FV(PERCENT!$E$8,1,,-RESULT!X12,))</f>
        <v/>
      </c>
      <c r="Z12" s="303" t="str">
        <f>IF(Z$34="","",FV(PERCENT!$E$8,1,,-RESULT!Y12,))</f>
        <v/>
      </c>
      <c r="AA12" s="303" t="str">
        <f>IF(AA$34="","",FV(PERCENT!$E$8,1,,-RESULT!Z12,))</f>
        <v/>
      </c>
      <c r="AB12" s="303" t="str">
        <f>IF(AB$34="","",FV(PERCENT!$E$8,1,,-RESULT!AA12,))</f>
        <v/>
      </c>
      <c r="AC12" s="303" t="str">
        <f>IF(AC$34="","",FV(PERCENT!$E$8,1,,-RESULT!AB12,))</f>
        <v/>
      </c>
      <c r="AD12" s="303" t="str">
        <f>IF(AD$34="","",FV(PERCENT!$E$8,1,,-RESULT!AC12,))</f>
        <v/>
      </c>
      <c r="AE12" s="303" t="str">
        <f>IF(AE$34="","",FV(PERCENT!$E$8,1,,-RESULT!AD12,))</f>
        <v/>
      </c>
      <c r="AF12" s="303" t="str">
        <f>IF(AF$34="","",FV(PERCENT!$E$8,1,,-RESULT!AE12,))</f>
        <v/>
      </c>
      <c r="EZ12" s="258">
        <f t="shared" si="0"/>
        <v>0</v>
      </c>
    </row>
    <row r="13" spans="1:156">
      <c r="A13" s="291" t="str">
        <f>IF(B13="","",IF(ISBLANK(HomePage!$D$8),HOME,IF(HomePage!$D$8="Percentage",IF(NOT(HomePage!$D$11&gt;0),A14*(1+HomePage!$D$9),IF(A14*(1+HomePage!$D$9)&gt;HomePage!$D$11,HomePage!$D$11,A14*(1+HomePage!$D$9))),IF(NOT(HomePage!$D$11&gt;0),A14+HomePage!$D$10,IF((A14+HomePage!$D$10)&gt;HomePage!$D$11,HomePage!$D$11,(A14+HomePage!$D$10))))))</f>
        <v/>
      </c>
      <c r="B13" s="302" t="str">
        <f>IF(B14="","",IF((B14+1)&gt;HomePage!$D$5,"",(B14+1)))</f>
        <v/>
      </c>
      <c r="W13" s="303" t="str">
        <f>IF(W$34="","",FV((1+PERCENT!$E$8)^(1/12)-1,12,-$A13,,1))</f>
        <v/>
      </c>
      <c r="X13" s="303" t="str">
        <f>IF(X$34="","",FV(PERCENT!$E$8,1,,-RESULT!W13,))</f>
        <v/>
      </c>
      <c r="Y13" s="303" t="str">
        <f>IF(Y$34="","",FV(PERCENT!$E$8,1,,-RESULT!X13,))</f>
        <v/>
      </c>
      <c r="Z13" s="303" t="str">
        <f>IF(Z$34="","",FV(PERCENT!$E$8,1,,-RESULT!Y13,))</f>
        <v/>
      </c>
      <c r="AA13" s="303" t="str">
        <f>IF(AA$34="","",FV(PERCENT!$E$8,1,,-RESULT!Z13,))</f>
        <v/>
      </c>
      <c r="AB13" s="303" t="str">
        <f>IF(AB$34="","",FV(PERCENT!$E$8,1,,-RESULT!AA13,))</f>
        <v/>
      </c>
      <c r="AC13" s="303" t="str">
        <f>IF(AC$34="","",FV(PERCENT!$E$8,1,,-RESULT!AB13,))</f>
        <v/>
      </c>
      <c r="AD13" s="303" t="str">
        <f>IF(AD$34="","",FV(PERCENT!$E$8,1,,-RESULT!AC13,))</f>
        <v/>
      </c>
      <c r="AE13" s="303" t="str">
        <f>IF(AE$34="","",FV(PERCENT!$E$8,1,,-RESULT!AD13,))</f>
        <v/>
      </c>
      <c r="AF13" s="303" t="str">
        <f>IF(AF$34="","",FV(PERCENT!$E$8,1,,-RESULT!AE13,))</f>
        <v/>
      </c>
      <c r="EZ13" s="258">
        <f t="shared" si="0"/>
        <v>0</v>
      </c>
    </row>
    <row r="14" spans="1:156">
      <c r="A14" s="291" t="str">
        <f>IF(B14="","",IF(ISBLANK(HomePage!$D$8),HOME,IF(HomePage!$D$8="Percentage",IF(NOT(HomePage!$D$11&gt;0),A15*(1+HomePage!$D$9),IF(A15*(1+HomePage!$D$9)&gt;HomePage!$D$11,HomePage!$D$11,A15*(1+HomePage!$D$9))),IF(NOT(HomePage!$D$11&gt;0),A15+HomePage!$D$10,IF((A15+HomePage!$D$10)&gt;HomePage!$D$11,HomePage!$D$11,(A15+HomePage!$D$10))))))</f>
        <v/>
      </c>
      <c r="B14" s="302" t="str">
        <f>IF(B15="","",IF((B15+1)&gt;HomePage!$D$5,"",(B15+1)))</f>
        <v/>
      </c>
      <c r="V14" s="303" t="str">
        <f>IF(V$34="","",FV((1+PERCENT!$E$8)^(1/12)-1,12,-$A14,,1))</f>
        <v/>
      </c>
      <c r="W14" s="303" t="str">
        <f>IF(W$34="","",FV(PERCENT!$E$8,1,,-RESULT!V14,))</f>
        <v/>
      </c>
      <c r="X14" s="303" t="str">
        <f>IF(X$34="","",FV(PERCENT!$E$8,1,,-RESULT!W14,))</f>
        <v/>
      </c>
      <c r="Y14" s="303" t="str">
        <f>IF(Y$34="","",FV(PERCENT!$E$8,1,,-RESULT!X14,))</f>
        <v/>
      </c>
      <c r="Z14" s="303" t="str">
        <f>IF(Z$34="","",FV(PERCENT!$E$8,1,,-RESULT!Y14,))</f>
        <v/>
      </c>
      <c r="AA14" s="303" t="str">
        <f>IF(AA$34="","",FV(PERCENT!$E$8,1,,-RESULT!Z14,))</f>
        <v/>
      </c>
      <c r="AB14" s="303" t="str">
        <f>IF(AB$34="","",FV(PERCENT!$E$8,1,,-RESULT!AA14,))</f>
        <v/>
      </c>
      <c r="AC14" s="303" t="str">
        <f>IF(AC$34="","",FV(PERCENT!$E$8,1,,-RESULT!AB14,))</f>
        <v/>
      </c>
      <c r="AD14" s="303" t="str">
        <f>IF(AD$34="","",FV(PERCENT!$E$8,1,,-RESULT!AC14,))</f>
        <v/>
      </c>
      <c r="AE14" s="303" t="str">
        <f>IF(AE$34="","",FV(PERCENT!$E$8,1,,-RESULT!AD14,))</f>
        <v/>
      </c>
      <c r="AF14" s="303" t="str">
        <f>IF(AF$34="","",FV(PERCENT!$E$8,1,,-RESULT!AE14,))</f>
        <v/>
      </c>
      <c r="EZ14" s="258">
        <f t="shared" si="0"/>
        <v>0</v>
      </c>
    </row>
    <row r="15" spans="1:156">
      <c r="A15" s="291" t="str">
        <f>IF(B15="","",IF(ISBLANK(HomePage!$D$8),HOME,IF(HomePage!$D$8="Percentage",IF(NOT(HomePage!$D$11&gt;0),A16*(1+HomePage!$D$9),IF(A16*(1+HomePage!$D$9)&gt;HomePage!$D$11,HomePage!$D$11,A16*(1+HomePage!$D$9))),IF(NOT(HomePage!$D$11&gt;0),A16+HomePage!$D$10,IF((A16+HomePage!$D$10)&gt;HomePage!$D$11,HomePage!$D$11,(A16+HomePage!$D$10))))))</f>
        <v/>
      </c>
      <c r="B15" s="302" t="str">
        <f>IF(B16="","",IF((B16+1)&gt;HomePage!$D$5,"",(B16+1)))</f>
        <v/>
      </c>
      <c r="U15" s="303" t="str">
        <f>IF(U$34="","",FV((1+PERCENT!$E$8)^(1/12)-1,12,-$A15,,1))</f>
        <v/>
      </c>
      <c r="V15" s="303" t="str">
        <f>IF(V$34="","",FV(PERCENT!$E$8,1,,-RESULT!U15,))</f>
        <v/>
      </c>
      <c r="W15" s="303" t="str">
        <f>IF(W$34="","",FV(PERCENT!$E$8,1,,-RESULT!V15,))</f>
        <v/>
      </c>
      <c r="X15" s="303" t="str">
        <f>IF(X$34="","",FV(PERCENT!$E$8,1,,-RESULT!W15,))</f>
        <v/>
      </c>
      <c r="Y15" s="303" t="str">
        <f>IF(Y$34="","",FV(PERCENT!$E$8,1,,-RESULT!X15,))</f>
        <v/>
      </c>
      <c r="Z15" s="303" t="str">
        <f>IF(Z$34="","",FV(PERCENT!$E$8,1,,-RESULT!Y15,))</f>
        <v/>
      </c>
      <c r="AA15" s="303" t="str">
        <f>IF(AA$34="","",FV(PERCENT!$E$8,1,,-RESULT!Z15,))</f>
        <v/>
      </c>
      <c r="AB15" s="303" t="str">
        <f>IF(AB$34="","",FV(PERCENT!$E$8,1,,-RESULT!AA15,))</f>
        <v/>
      </c>
      <c r="AC15" s="303" t="str">
        <f>IF(AC$34="","",FV(PERCENT!$E$8,1,,-RESULT!AB15,))</f>
        <v/>
      </c>
      <c r="AD15" s="303" t="str">
        <f>IF(AD$34="","",FV(PERCENT!$E$8,1,,-RESULT!AC15,))</f>
        <v/>
      </c>
      <c r="AE15" s="303" t="str">
        <f>IF(AE$34="","",FV(PERCENT!$E$8,1,,-RESULT!AD15,))</f>
        <v/>
      </c>
      <c r="AF15" s="303" t="str">
        <f>IF(AF$34="","",FV(PERCENT!$E$8,1,,-RESULT!AE15,))</f>
        <v/>
      </c>
      <c r="EZ15" s="258">
        <f t="shared" si="0"/>
        <v>0</v>
      </c>
    </row>
    <row r="16" spans="1:156">
      <c r="A16" s="291" t="str">
        <f>IF(B16="","",IF(ISBLANK(HomePage!$D$8),HOME,IF(HomePage!$D$8="Percentage",IF(NOT(HomePage!$D$11&gt;0),A17*(1+HomePage!$D$9),IF(A17*(1+HomePage!$D$9)&gt;HomePage!$D$11,HomePage!$D$11,A17*(1+HomePage!$D$9))),IF(NOT(HomePage!$D$11&gt;0),A17+HomePage!$D$10,IF((A17+HomePage!$D$10)&gt;HomePage!$D$11,HomePage!$D$11,(A17+HomePage!$D$10))))))</f>
        <v/>
      </c>
      <c r="B16" s="302" t="str">
        <f>IF(B17="","",IF((B17+1)&gt;HomePage!$D$5,"",(B17+1)))</f>
        <v/>
      </c>
      <c r="T16" s="303" t="str">
        <f>IF(T$34="","",FV((1+PERCENT!$E$8)^(1/12)-1,12,-$A16,,1))</f>
        <v/>
      </c>
      <c r="U16" s="303" t="str">
        <f>IF(U$34="","",FV(PERCENT!$E$8,1,,-RESULT!T16,))</f>
        <v/>
      </c>
      <c r="V16" s="303" t="str">
        <f>IF(V$34="","",FV(PERCENT!$E$8,1,,-RESULT!U16,))</f>
        <v/>
      </c>
      <c r="W16" s="303" t="str">
        <f>IF(W$34="","",FV(PERCENT!$E$8,1,,-RESULT!V16,))</f>
        <v/>
      </c>
      <c r="X16" s="303" t="str">
        <f>IF(X$34="","",FV(PERCENT!$E$8,1,,-RESULT!W16,))</f>
        <v/>
      </c>
      <c r="Y16" s="303" t="str">
        <f>IF(Y$34="","",FV(PERCENT!$E$8,1,,-RESULT!X16,))</f>
        <v/>
      </c>
      <c r="Z16" s="303" t="str">
        <f>IF(Z$34="","",FV(PERCENT!$E$8,1,,-RESULT!Y16,))</f>
        <v/>
      </c>
      <c r="AA16" s="303" t="str">
        <f>IF(AA$34="","",FV(PERCENT!$E$8,1,,-RESULT!Z16,))</f>
        <v/>
      </c>
      <c r="AB16" s="303" t="str">
        <f>IF(AB$34="","",FV(PERCENT!$E$8,1,,-RESULT!AA16,))</f>
        <v/>
      </c>
      <c r="AC16" s="303" t="str">
        <f>IF(AC$34="","",FV(PERCENT!$E$8,1,,-RESULT!AB16,))</f>
        <v/>
      </c>
      <c r="AD16" s="303" t="str">
        <f>IF(AD$34="","",FV(PERCENT!$E$8,1,,-RESULT!AC16,))</f>
        <v/>
      </c>
      <c r="AE16" s="303" t="str">
        <f>IF(AE$34="","",FV(PERCENT!$E$8,1,,-RESULT!AD16,))</f>
        <v/>
      </c>
      <c r="AF16" s="303" t="str">
        <f>IF(AF$34="","",FV(PERCENT!$E$8,1,,-RESULT!AE16,))</f>
        <v/>
      </c>
      <c r="EZ16" s="258">
        <f t="shared" si="0"/>
        <v>0</v>
      </c>
    </row>
    <row r="17" spans="1:156">
      <c r="A17" s="291" t="str">
        <f>IF(B17="","",IF(ISBLANK(HomePage!$D$8),HOME,IF(HomePage!$D$8="Percentage",IF(NOT(HomePage!$D$11&gt;0),A18*(1+HomePage!$D$9),IF(A18*(1+HomePage!$D$9)&gt;HomePage!$D$11,HomePage!$D$11,A18*(1+HomePage!$D$9))),IF(NOT(HomePage!$D$11&gt;0),A18+HomePage!$D$10,IF((A18+HomePage!$D$10)&gt;HomePage!$D$11,HomePage!$D$11,(A18+HomePage!$D$10))))))</f>
        <v/>
      </c>
      <c r="B17" s="302" t="str">
        <f>IF(B18="","",IF((B18+1)&gt;HomePage!$D$5,"",(B18+1)))</f>
        <v/>
      </c>
      <c r="S17" s="303" t="str">
        <f>IF(S$34="","",FV((1+PERCENT!$E$8)^(1/12)-1,12,-$A17,,1))</f>
        <v/>
      </c>
      <c r="T17" s="303" t="str">
        <f>IF(T$34="","",FV(PERCENT!$E$8,1,,-RESULT!S17,))</f>
        <v/>
      </c>
      <c r="U17" s="303" t="str">
        <f>IF(U$34="","",FV(PERCENT!$E$8,1,,-RESULT!T17,))</f>
        <v/>
      </c>
      <c r="V17" s="303" t="str">
        <f>IF(V$34="","",FV(PERCENT!$E$8,1,,-RESULT!U17,))</f>
        <v/>
      </c>
      <c r="W17" s="303" t="str">
        <f>IF(W$34="","",FV(PERCENT!$E$8,1,,-RESULT!V17,))</f>
        <v/>
      </c>
      <c r="X17" s="303" t="str">
        <f>IF(X$34="","",FV(PERCENT!$E$8,1,,-RESULT!W17,))</f>
        <v/>
      </c>
      <c r="Y17" s="303" t="str">
        <f>IF(Y$34="","",FV(PERCENT!$E$8,1,,-RESULT!X17,))</f>
        <v/>
      </c>
      <c r="Z17" s="303" t="str">
        <f>IF(Z$34="","",FV(PERCENT!$E$8,1,,-RESULT!Y17,))</f>
        <v/>
      </c>
      <c r="AA17" s="303" t="str">
        <f>IF(AA$34="","",FV(PERCENT!$E$8,1,,-RESULT!Z17,))</f>
        <v/>
      </c>
      <c r="AB17" s="303" t="str">
        <f>IF(AB$34="","",FV(PERCENT!$E$8,1,,-RESULT!AA17,))</f>
        <v/>
      </c>
      <c r="AC17" s="303" t="str">
        <f>IF(AC$34="","",FV(PERCENT!$E$8,1,,-RESULT!AB17,))</f>
        <v/>
      </c>
      <c r="AD17" s="303" t="str">
        <f>IF(AD$34="","",FV(PERCENT!$E$8,1,,-RESULT!AC17,))</f>
        <v/>
      </c>
      <c r="AE17" s="303" t="str">
        <f>IF(AE$34="","",FV(PERCENT!$E$8,1,,-RESULT!AD17,))</f>
        <v/>
      </c>
      <c r="AF17" s="303" t="str">
        <f>IF(AF$34="","",FV(PERCENT!$E$8,1,,-RESULT!AE17,))</f>
        <v/>
      </c>
      <c r="EZ17" s="258">
        <f t="shared" si="0"/>
        <v>0</v>
      </c>
    </row>
    <row r="18" spans="1:156">
      <c r="A18" s="291" t="str">
        <f>IF(B18="","",IF(ISBLANK(HomePage!$D$8),HOME,IF(HomePage!$D$8="Percentage",IF(NOT(HomePage!$D$11&gt;0),A19*(1+HomePage!$D$9),IF(A19*(1+HomePage!$D$9)&gt;HomePage!$D$11,HomePage!$D$11,A19*(1+HomePage!$D$9))),IF(NOT(HomePage!$D$11&gt;0),A19+HomePage!$D$10,IF((A19+HomePage!$D$10)&gt;HomePage!$D$11,HomePage!$D$11,(A19+HomePage!$D$10))))))</f>
        <v/>
      </c>
      <c r="B18" s="302" t="str">
        <f>IF(B19="","",IF((B19+1)&gt;HomePage!$D$5,"",(B19+1)))</f>
        <v/>
      </c>
      <c r="R18" s="303" t="str">
        <f>IF(R34="","",FV((1+PERCENT!$E$8)^(1/12)-1,12,-A18,,1))</f>
        <v/>
      </c>
      <c r="S18" s="303" t="str">
        <f>IF(S34="","",FV(PERCENT!$E$8,1,,-RESULT!R18,))</f>
        <v/>
      </c>
      <c r="T18" s="303" t="str">
        <f>IF(T$34="","",FV(PERCENT!$E$8,1,,-RESULT!S18,))</f>
        <v/>
      </c>
      <c r="U18" s="303" t="str">
        <f>IF(U34="","",FV(PERCENT!$E$8,1,,-RESULT!T18,))</f>
        <v/>
      </c>
      <c r="V18" s="303" t="str">
        <f>IF(V34="","",FV(PERCENT!$E$8,1,,-RESULT!U18,))</f>
        <v/>
      </c>
      <c r="W18" s="303" t="str">
        <f>IF(W34="","",FV(PERCENT!$E$8,1,,-RESULT!V18,))</f>
        <v/>
      </c>
      <c r="X18" s="303" t="str">
        <f>IF(X34="","",FV(PERCENT!$E$8,1,,-RESULT!W18,))</f>
        <v/>
      </c>
      <c r="Y18" s="303" t="str">
        <f>IF(Y$34="","",FV(PERCENT!$E$8,1,,-RESULT!X18,))</f>
        <v/>
      </c>
      <c r="Z18" s="303" t="str">
        <f>IF(Z$34="","",FV(PERCENT!$E$8,1,,-RESULT!Y18,))</f>
        <v/>
      </c>
      <c r="AA18" s="303" t="str">
        <f>IF(AA$34="","",FV(PERCENT!$E$8,1,,-RESULT!Z18,))</f>
        <v/>
      </c>
      <c r="AB18" s="303" t="str">
        <f>IF(AB$34="","",FV(PERCENT!$E$8,1,,-RESULT!AA18,))</f>
        <v/>
      </c>
      <c r="AC18" s="303" t="str">
        <f>IF(AC$34="","",FV(PERCENT!$E$8,1,,-RESULT!AB18,))</f>
        <v/>
      </c>
      <c r="AD18" s="303" t="str">
        <f>IF(AD$34="","",FV(PERCENT!$E$8,1,,-RESULT!AC18,))</f>
        <v/>
      </c>
      <c r="AE18" s="303" t="str">
        <f>IF(AE$34="","",FV(PERCENT!$E$8,1,,-RESULT!AD18,))</f>
        <v/>
      </c>
      <c r="AF18" s="303" t="str">
        <f>IF(AF$34="","",FV(PERCENT!$E$8,1,,-RESULT!AE18,))</f>
        <v/>
      </c>
      <c r="EZ18" s="258">
        <f t="shared" si="0"/>
        <v>0</v>
      </c>
    </row>
    <row r="19" spans="1:156">
      <c r="A19" s="291">
        <f>IF(B19="","",IF(ISBLANK(HomePage!$D$8),HOME,IF(HomePage!$D$8="Percentage",IF(NOT(HomePage!$D$11&gt;0),A20*(1+HomePage!$D$9),IF(A20*(1+HomePage!$D$9)&gt;HomePage!$D$11,HomePage!$D$11,A20*(1+HomePage!$D$9))),IF(NOT(HomePage!$D$11&gt;0),A20+HomePage!$D$10,IF((A20+HomePage!$D$10)&gt;HomePage!$D$11,HomePage!$D$11,(A20+HomePage!$D$10))))))</f>
        <v>24000</v>
      </c>
      <c r="B19" s="302">
        <f>IF(B20="","",IF((B20+1)&gt;HomePage!$D$5,"",(B20+1)))</f>
        <v>15</v>
      </c>
      <c r="Q19" s="564">
        <f>IF(Q34="","",FV((1+PERCENT!$E$8)^(1/12)-1,12,-A19,,1))</f>
        <v>309402.92828148504</v>
      </c>
      <c r="R19" s="303" t="str">
        <f>IF(R34="","",FV(PERCENT!$E$8,1,,-RESULT!Q19,))</f>
        <v/>
      </c>
      <c r="S19" s="303" t="str">
        <f>IF(S34="","",FV(PERCENT!$E$8,1,,-RESULT!R19,))</f>
        <v/>
      </c>
      <c r="T19" s="303" t="str">
        <f>IF(T34="","",FV(PERCENT!$E$8,1,,-RESULT!S19,))</f>
        <v/>
      </c>
      <c r="U19" s="303" t="str">
        <f>IF(U34="","",FV(PERCENT!$E$8,1,,-RESULT!T19,))</f>
        <v/>
      </c>
      <c r="V19" s="303" t="str">
        <f>IF(V34="","",FV(PERCENT!$E$8,1,,-RESULT!U19,))</f>
        <v/>
      </c>
      <c r="W19" s="303" t="str">
        <f>IF(W34="","",FV(PERCENT!$E$8,1,,-RESULT!V19,))</f>
        <v/>
      </c>
      <c r="X19" s="303" t="str">
        <f>IF(X34="","",FV(PERCENT!$E$8,1,,-RESULT!W19,))</f>
        <v/>
      </c>
      <c r="Y19" s="303" t="str">
        <f>IF(Y$34="","",FV(PERCENT!$E$8,1,,-RESULT!X19,))</f>
        <v/>
      </c>
      <c r="Z19" s="303" t="str">
        <f>IF(Z$34="","",FV(PERCENT!$E$8,1,,-RESULT!Y19,))</f>
        <v/>
      </c>
      <c r="AA19" s="303" t="str">
        <f>IF(AA$34="","",FV(PERCENT!$E$8,1,,-RESULT!Z19,))</f>
        <v/>
      </c>
      <c r="AB19" s="303" t="str">
        <f>IF(AB$34="","",FV(PERCENT!$E$8,1,,-RESULT!AA19,))</f>
        <v/>
      </c>
      <c r="AC19" s="303" t="str">
        <f>IF(AC$34="","",FV(PERCENT!$E$8,1,,-RESULT!AB19,))</f>
        <v/>
      </c>
      <c r="AD19" s="303" t="str">
        <f>IF(AD$34="","",FV(PERCENT!$E$8,1,,-RESULT!AC19,))</f>
        <v/>
      </c>
      <c r="AE19" s="303" t="str">
        <f>IF(AE$34="","",FV(PERCENT!$E$8,1,,-RESULT!AD19,))</f>
        <v/>
      </c>
      <c r="AF19" s="303" t="str">
        <f>IF(AF$34="","",FV(PERCENT!$E$8,1,,-RESULT!AE19,))</f>
        <v/>
      </c>
      <c r="EZ19" s="258">
        <f t="shared" si="0"/>
        <v>12</v>
      </c>
    </row>
    <row r="20" spans="1:156">
      <c r="A20" s="291">
        <f>IF(B20="","",IF(ISBLANK(HomePage!$D$8),HOME,IF(HomePage!$D$8="Percentage",IF(NOT(HomePage!$D$11&gt;0),A21*(1+HomePage!$D$9),IF(A21*(1+HomePage!$D$9)&gt;HomePage!$D$11,HomePage!$D$11,A21*(1+HomePage!$D$9))),IF(NOT(HomePage!$D$11&gt;0),A21+HomePage!$D$10,IF((A21+HomePage!$D$10)&gt;HomePage!$D$11,HomePage!$D$11,(A21+HomePage!$D$10))))))</f>
        <v>23000</v>
      </c>
      <c r="B20" s="302">
        <f>IF(B21="","",IF((B21+1)&gt;HomePage!$D$5,"",(B21+1)))</f>
        <v>14</v>
      </c>
      <c r="P20" s="564">
        <f>IF(P34="","",FV((1+PERCENT!$E$8)^(1/12)-1,12,-A20,,1))</f>
        <v>296511.13960308983</v>
      </c>
      <c r="Q20" s="564">
        <f>IF(Q34="","",FV(PERCENT!$E$8,1,,-RESULT!P20,))</f>
        <v>338022.69914752245</v>
      </c>
      <c r="R20" s="303" t="str">
        <f>IF(R34="","",FV(PERCENT!$E$8,1,,-RESULT!Q20,))</f>
        <v/>
      </c>
      <c r="S20" s="303" t="str">
        <f>IF(S34="","",FV(PERCENT!$E$8,1,,-RESULT!R20,))</f>
        <v/>
      </c>
      <c r="T20" s="303" t="str">
        <f>IF(T34="","",FV(PERCENT!$E$8,1,,-RESULT!S20,))</f>
        <v/>
      </c>
      <c r="U20" s="303" t="str">
        <f>IF(U34="","",FV(PERCENT!$E$8,1,,-RESULT!T20,))</f>
        <v/>
      </c>
      <c r="V20" s="303" t="str">
        <f>IF(V34="","",FV(PERCENT!$E$8,1,,-RESULT!U20,))</f>
        <v/>
      </c>
      <c r="W20" s="303" t="str">
        <f>IF(W34="","",FV(PERCENT!$E$8,1,,-RESULT!V20,))</f>
        <v/>
      </c>
      <c r="X20" s="303" t="str">
        <f>IF(X34="","",FV(PERCENT!$E$8,1,,-RESULT!W20,))</f>
        <v/>
      </c>
      <c r="Y20" s="303" t="str">
        <f>IF(Y34="","",FV(PERCENT!$E$8,1,,-RESULT!X20,))</f>
        <v/>
      </c>
      <c r="Z20" s="303" t="str">
        <f>IF(Z34="","",FV(PERCENT!$E$8,1,,-RESULT!Y20,))</f>
        <v/>
      </c>
      <c r="AA20" s="303" t="str">
        <f>IF(AA34="","",FV(PERCENT!$E$8,1,,-RESULT!Z20,))</f>
        <v/>
      </c>
      <c r="AB20" s="303" t="str">
        <f>IF(AB34="","",FV(PERCENT!$E$8,1,,-RESULT!AA20,))</f>
        <v/>
      </c>
      <c r="AC20" s="303" t="str">
        <f>IF(AC34="","",FV(PERCENT!$E$8,1,,-RESULT!AB20,))</f>
        <v/>
      </c>
      <c r="AD20" s="303" t="str">
        <f>IF(AD34="","",FV(PERCENT!$E$8,1,,-RESULT!AC20,))</f>
        <v/>
      </c>
      <c r="AE20" s="303" t="str">
        <f>IF(AE34="","",FV(PERCENT!$E$8,1,,-RESULT!AD20,))</f>
        <v/>
      </c>
      <c r="AF20" s="303" t="str">
        <f>IF(AF34="","",FV(PERCENT!$E$8,1,,-RESULT!AE20,))</f>
        <v/>
      </c>
      <c r="EZ20" s="258">
        <f t="shared" si="0"/>
        <v>12</v>
      </c>
    </row>
    <row r="21" spans="1:156">
      <c r="A21" s="291">
        <f>IF(B21="","",IF(ISBLANK(HomePage!$D$8),HOME,IF(HomePage!$D$8="Percentage",IF(NOT(HomePage!$D$11&gt;0),A22*(1+HomePage!$D$9),IF(A22*(1+HomePage!$D$9)&gt;HomePage!$D$11,HomePage!$D$11,A22*(1+HomePage!$D$9))),IF(NOT(HomePage!$D$11&gt;0),A22+HomePage!$D$10,IF((A22+HomePage!$D$10)&gt;HomePage!$D$11,HomePage!$D$11,(A22+HomePage!$D$10))))))</f>
        <v>22000</v>
      </c>
      <c r="B21" s="302">
        <f>IF(B22="","",IF((B22+1)&gt;HomePage!$D$5,"",(B22+1)))</f>
        <v>13</v>
      </c>
      <c r="O21" s="564">
        <f>IF(O34="","",FV((1+PERCENT!$E$8)^(1/12)-1,12,-A21,,1))</f>
        <v>283619.35092469462</v>
      </c>
      <c r="P21" s="564">
        <f>IF(P34="","",FV(PERCENT!$E$8,1,,-RESULT!O21,))</f>
        <v>323326.06005415192</v>
      </c>
      <c r="Q21" s="564">
        <f>IF(Q34="","",FV(PERCENT!$E$8,1,,-RESULT!P21,))</f>
        <v>368591.70846173324</v>
      </c>
      <c r="R21" s="303" t="str">
        <f>IF(R34="","",FV(PERCENT!$E$8,1,,-RESULT!Q21,))</f>
        <v/>
      </c>
      <c r="S21" s="303" t="str">
        <f>IF(S34="","",FV(PERCENT!$E$8,1,,-RESULT!R21,))</f>
        <v/>
      </c>
      <c r="T21" s="303" t="str">
        <f>IF(T34="","",FV(PERCENT!$E$8,1,,-RESULT!S21,))</f>
        <v/>
      </c>
      <c r="U21" s="303" t="str">
        <f>IF(U34="","",FV(PERCENT!$E$8,1,,-RESULT!T21,))</f>
        <v/>
      </c>
      <c r="V21" s="303" t="str">
        <f>IF(V34="","",FV(PERCENT!$E$8,1,,-RESULT!U21,))</f>
        <v/>
      </c>
      <c r="W21" s="303" t="str">
        <f>IF(W34="","",FV(PERCENT!$E$8,1,,-RESULT!V21,))</f>
        <v/>
      </c>
      <c r="X21" s="303" t="str">
        <f>IF(X34="","",FV(PERCENT!$E$8,1,,-RESULT!W21,))</f>
        <v/>
      </c>
      <c r="Y21" s="303" t="str">
        <f>IF(Y34="","",FV(PERCENT!$E$8,1,,-RESULT!X21,))</f>
        <v/>
      </c>
      <c r="Z21" s="303" t="str">
        <f>IF(Z34="","",FV(PERCENT!$E$8,1,,-RESULT!Y21,))</f>
        <v/>
      </c>
      <c r="AA21" s="303" t="str">
        <f>IF(AA34="","",FV(PERCENT!$E$8,1,,-RESULT!Z21,))</f>
        <v/>
      </c>
      <c r="AB21" s="303" t="str">
        <f>IF(AB34="","",FV(PERCENT!$E$8,1,,-RESULT!AA21,))</f>
        <v/>
      </c>
      <c r="AC21" s="303" t="str">
        <f>IF(AC34="","",FV(PERCENT!$E$8,1,,-RESULT!AB21,))</f>
        <v/>
      </c>
      <c r="AD21" s="303" t="str">
        <f>IF(AD34="","",FV(PERCENT!$E$8,1,,-RESULT!AC21,))</f>
        <v/>
      </c>
      <c r="AE21" s="303" t="str">
        <f>IF(AE34="","",FV(PERCENT!$E$8,1,,-RESULT!AD21,))</f>
        <v/>
      </c>
      <c r="AF21" s="303" t="str">
        <f>IF(AF34="","",FV(PERCENT!$E$8,1,,-RESULT!AE21,))</f>
        <v/>
      </c>
      <c r="EZ21" s="258">
        <f t="shared" si="0"/>
        <v>12</v>
      </c>
    </row>
    <row r="22" spans="1:156">
      <c r="A22" s="291">
        <f>IF(B22="","",IF(ISBLANK(HomePage!$D$8),HOME,IF(HomePage!$D$8="Percentage",IF(NOT(HomePage!$D$11&gt;0),A23*(1+HomePage!$D$9),IF(A23*(1+HomePage!$D$9)&gt;HomePage!$D$11,HomePage!$D$11,A23*(1+HomePage!$D$9))),IF(NOT(HomePage!$D$11&gt;0),A23+HomePage!$D$10,IF((A23+HomePage!$D$10)&gt;HomePage!$D$11,HomePage!$D$11,(A23+HomePage!$D$10))))))</f>
        <v>21000</v>
      </c>
      <c r="B22" s="302">
        <f>IF(B23="","",IF((B23+1)&gt;HomePage!$D$5,"",(B23+1)))</f>
        <v>12</v>
      </c>
      <c r="N22" s="564">
        <f>IF(N34="","",FV((1+PERCENT!$E$8)^(1/12)-1,12,-A22,,1))</f>
        <v>270727.56224629941</v>
      </c>
      <c r="O22" s="564">
        <f>IF(O34="","",FV(PERCENT!$E$8,1,,-RESULT!N22,))</f>
        <v>308629.42096078134</v>
      </c>
      <c r="P22" s="564">
        <f>IF(P34="","",FV(PERCENT!$E$8,1,,-RESULT!O22,))</f>
        <v>351837.53989529074</v>
      </c>
      <c r="Q22" s="564">
        <f>IF(Q34="","",FV(PERCENT!$E$8,1,,-RESULT!P22,))</f>
        <v>401094.79548063147</v>
      </c>
      <c r="R22" s="303" t="str">
        <f>IF(R34="","",FV(PERCENT!$E$8,1,,-RESULT!Q22,))</f>
        <v/>
      </c>
      <c r="S22" s="303" t="str">
        <f>IF(S34="","",FV(PERCENT!$E$8,1,,-RESULT!R22,))</f>
        <v/>
      </c>
      <c r="T22" s="303" t="str">
        <f>IF(T34="","",FV(PERCENT!$E$8,1,,-RESULT!S22,))</f>
        <v/>
      </c>
      <c r="U22" s="303" t="str">
        <f>IF(U34="","",FV(PERCENT!$E$8,1,,-RESULT!T22,))</f>
        <v/>
      </c>
      <c r="V22" s="303" t="str">
        <f>IF(V34="","",FV(PERCENT!$E$8,1,,-RESULT!U22,))</f>
        <v/>
      </c>
      <c r="W22" s="303" t="str">
        <f>IF(W34="","",FV(PERCENT!$E$8,1,,-RESULT!V22,))</f>
        <v/>
      </c>
      <c r="X22" s="303" t="str">
        <f>IF(X34="","",FV(PERCENT!$E$8,1,,-RESULT!W22,))</f>
        <v/>
      </c>
      <c r="Y22" s="303" t="str">
        <f>IF(Y34="","",FV(PERCENT!$E$8,1,,-RESULT!X22,))</f>
        <v/>
      </c>
      <c r="Z22" s="303" t="str">
        <f>IF(Z34="","",FV(PERCENT!$E$8,1,,-RESULT!Y22,))</f>
        <v/>
      </c>
      <c r="AA22" s="303" t="str">
        <f>IF(AA34="","",FV(PERCENT!$E$8,1,,-RESULT!Z22,))</f>
        <v/>
      </c>
      <c r="AB22" s="303" t="str">
        <f>IF(AB34="","",FV(PERCENT!$E$8,1,,-RESULT!AA22,))</f>
        <v/>
      </c>
      <c r="AC22" s="303" t="str">
        <f>IF(AC34="","",FV(PERCENT!$E$8,1,,-RESULT!AB22,))</f>
        <v/>
      </c>
      <c r="AD22" s="303" t="str">
        <f>IF(AD34="","",FV(PERCENT!$E$8,1,,-RESULT!AC22,))</f>
        <v/>
      </c>
      <c r="AE22" s="303" t="str">
        <f>IF(AE34="","",FV(PERCENT!$E$8,1,,-RESULT!AD22,))</f>
        <v/>
      </c>
      <c r="AF22" s="303" t="str">
        <f>IF(AF34="","",FV(PERCENT!$E$8,1,,-RESULT!AE22,))</f>
        <v/>
      </c>
      <c r="EZ22" s="258">
        <f t="shared" si="0"/>
        <v>12</v>
      </c>
    </row>
    <row r="23" spans="1:156">
      <c r="A23" s="291">
        <f>IF(B23="","",IF(ISBLANK(HomePage!$D$8),HOME,IF(HomePage!$D$8="Percentage",IF(NOT(HomePage!$D$11&gt;0),A24*(1+HomePage!$D$9),IF(A24*(1+HomePage!$D$9)&gt;HomePage!$D$11,HomePage!$D$11,A24*(1+HomePage!$D$9))),IF(NOT(HomePage!$D$11&gt;0),A24+HomePage!$D$10,IF((A24+HomePage!$D$10)&gt;HomePage!$D$11,HomePage!$D$11,(A24+HomePage!$D$10))))))</f>
        <v>20000</v>
      </c>
      <c r="B23" s="302">
        <f>IF(B24="","",IF((B24+1)&gt;HomePage!$D$5,"",(B24+1)))</f>
        <v>11</v>
      </c>
      <c r="M23" s="564">
        <f>IF(M34="","",FV((1+PERCENT!$E$8)^(1/12)-1,12,-A23,,1))</f>
        <v>257835.77356790419</v>
      </c>
      <c r="N23" s="564">
        <f>IF(N34="","",FV(PERCENT!$E$8,1,,-RESULT!M23,))</f>
        <v>293932.78186741081</v>
      </c>
      <c r="O23" s="564">
        <f>IF(O34="","",FV(PERCENT!$E$8,1,,-RESULT!N23,))</f>
        <v>335083.37132884836</v>
      </c>
      <c r="P23" s="564">
        <f>IF(P34="","",FV(PERCENT!$E$8,1,,-RESULT!O23,))</f>
        <v>381995.04331488715</v>
      </c>
      <c r="Q23" s="564">
        <f>IF(Q34="","",FV(PERCENT!$E$8,1,,-RESULT!P23,))</f>
        <v>435474.34937897138</v>
      </c>
      <c r="R23" s="303" t="str">
        <f>IF(R34="","",FV(PERCENT!$E$8,1,,-RESULT!Q23,))</f>
        <v/>
      </c>
      <c r="S23" s="303" t="str">
        <f>IF(S34="","",FV(PERCENT!$E$8,1,,-RESULT!R23,))</f>
        <v/>
      </c>
      <c r="T23" s="303" t="str">
        <f>IF(T34="","",FV(PERCENT!$E$8,1,,-RESULT!S23,))</f>
        <v/>
      </c>
      <c r="U23" s="303" t="str">
        <f>IF(U34="","",FV(PERCENT!$E$8,1,,-RESULT!T23,))</f>
        <v/>
      </c>
      <c r="V23" s="303" t="str">
        <f>IF(V34="","",FV(PERCENT!$E$8,1,,-RESULT!U23,))</f>
        <v/>
      </c>
      <c r="W23" s="303" t="str">
        <f>IF(W34="","",FV(PERCENT!$E$8,1,,-RESULT!V23,))</f>
        <v/>
      </c>
      <c r="X23" s="303" t="str">
        <f>IF(X34="","",FV(PERCENT!$E$8,1,,-RESULT!W23,))</f>
        <v/>
      </c>
      <c r="Y23" s="303" t="str">
        <f>IF(Y34="","",FV(PERCENT!$E$8,1,,-RESULT!X23,))</f>
        <v/>
      </c>
      <c r="Z23" s="303" t="str">
        <f>IF(Z34="","",FV(PERCENT!$E$8,1,,-RESULT!Y23,))</f>
        <v/>
      </c>
      <c r="AA23" s="303" t="str">
        <f>IF(AA34="","",FV(PERCENT!$E$8,1,,-RESULT!Z23,))</f>
        <v/>
      </c>
      <c r="AB23" s="303" t="str">
        <f>IF(AB34="","",FV(PERCENT!$E$8,1,,-RESULT!AA23,))</f>
        <v/>
      </c>
      <c r="AC23" s="303" t="str">
        <f>IF(AC34="","",FV(PERCENT!$E$8,1,,-RESULT!AB23,))</f>
        <v/>
      </c>
      <c r="AD23" s="303" t="str">
        <f>IF(AD34="","",FV(PERCENT!$E$8,1,,-RESULT!AC23,))</f>
        <v/>
      </c>
      <c r="AE23" s="303" t="str">
        <f>IF(AE34="","",FV(PERCENT!$E$8,1,,-RESULT!AD23,))</f>
        <v/>
      </c>
      <c r="AF23" s="303" t="str">
        <f>IF(AF34="","",FV(PERCENT!$E$8,1,,-RESULT!AE23,))</f>
        <v/>
      </c>
      <c r="EZ23" s="258">
        <f t="shared" si="0"/>
        <v>12</v>
      </c>
    </row>
    <row r="24" spans="1:156">
      <c r="A24" s="291">
        <f>IF(B24="","",IF(ISBLANK(HomePage!$D$8),HOME,IF(HomePage!$D$8="Percentage",IF(NOT(HomePage!$D$11&gt;0),A25*(1+HomePage!$D$9),IF(A25*(1+HomePage!$D$9)&gt;HomePage!$D$11,HomePage!$D$11,A25*(1+HomePage!$D$9))),IF(NOT(HomePage!$D$11&gt;0),A25+HomePage!$D$10,IF((A25+HomePage!$D$10)&gt;HomePage!$D$11,HomePage!$D$11,(A25+HomePage!$D$10))))))</f>
        <v>19000</v>
      </c>
      <c r="B24" s="302">
        <f>IF(B25="","",IF((B25+1)&gt;HomePage!$D$5,"",(B25+1)))</f>
        <v>10</v>
      </c>
      <c r="L24" s="564">
        <f>IF(L34="","",FV((1+PERCENT!$E$8)^(1/12)-1,12,-A24,,1))</f>
        <v>244943.98488950898</v>
      </c>
      <c r="M24" s="564">
        <f>IF(M34="","",FV(PERCENT!$E$8,1,,-RESULT!L24,))</f>
        <v>279236.14277404029</v>
      </c>
      <c r="N24" s="564">
        <f>IF(N34="","",FV(PERCENT!$E$8,1,,-RESULT!M24,))</f>
        <v>318329.20276240597</v>
      </c>
      <c r="O24" s="564">
        <f>IF(O34="","",FV(PERCENT!$E$8,1,,-RESULT!N24,))</f>
        <v>362895.29114914284</v>
      </c>
      <c r="P24" s="564">
        <f>IF(P34="","",FV(PERCENT!$E$8,1,,-RESULT!O24,))</f>
        <v>413700.63191002287</v>
      </c>
      <c r="Q24" s="564">
        <f>IF(Q34="","",FV(PERCENT!$E$8,1,,-RESULT!P24,))</f>
        <v>471618.72037742613</v>
      </c>
      <c r="R24" s="303" t="str">
        <f>IF(R34="","",FV(PERCENT!$E$8,1,,-RESULT!Q24,))</f>
        <v/>
      </c>
      <c r="S24" s="303" t="str">
        <f>IF(S34="","",FV(PERCENT!$E$8,1,,-RESULT!R24,))</f>
        <v/>
      </c>
      <c r="T24" s="303" t="str">
        <f>IF(T34="","",FV(PERCENT!$E$8,1,,-RESULT!S24,))</f>
        <v/>
      </c>
      <c r="U24" s="303" t="str">
        <f>IF(U34="","",FV(PERCENT!$E$8,1,,-RESULT!T24,))</f>
        <v/>
      </c>
      <c r="V24" s="303" t="str">
        <f>IF(V34="","",FV(PERCENT!$E$8,1,,-RESULT!U24,))</f>
        <v/>
      </c>
      <c r="W24" s="303" t="str">
        <f>IF(W34="","",FV(PERCENT!$E$8,1,,-RESULT!V24,))</f>
        <v/>
      </c>
      <c r="X24" s="303" t="str">
        <f>IF(X34="","",FV(PERCENT!$E$8,1,,-RESULT!W24,))</f>
        <v/>
      </c>
      <c r="Y24" s="303" t="str">
        <f>IF(Y34="","",FV(PERCENT!$E$8,1,,-RESULT!X24,))</f>
        <v/>
      </c>
      <c r="Z24" s="303" t="str">
        <f>IF(Z34="","",FV(PERCENT!$E$8,1,,-RESULT!Y24,))</f>
        <v/>
      </c>
      <c r="AA24" s="303" t="str">
        <f>IF(AA34="","",FV(PERCENT!$E$8,1,,-RESULT!Z24,))</f>
        <v/>
      </c>
      <c r="AB24" s="303" t="str">
        <f>IF(AB34="","",FV(PERCENT!$E$8,1,,-RESULT!AA24,))</f>
        <v/>
      </c>
      <c r="AC24" s="303" t="str">
        <f>IF(AC34="","",FV(PERCENT!$E$8,1,,-RESULT!AB24,))</f>
        <v/>
      </c>
      <c r="AD24" s="303" t="str">
        <f>IF(AD34="","",FV(PERCENT!$E$8,1,,-RESULT!AC24,))</f>
        <v/>
      </c>
      <c r="AE24" s="303" t="str">
        <f>IF(AE34="","",FV(PERCENT!$E$8,1,,-RESULT!AD24,))</f>
        <v/>
      </c>
      <c r="AF24" s="303" t="str">
        <f>IF(AF34="","",FV(PERCENT!$E$8,1,,-RESULT!AE24,))</f>
        <v/>
      </c>
      <c r="EZ24" s="258">
        <f t="shared" si="0"/>
        <v>12</v>
      </c>
    </row>
    <row r="25" spans="1:156">
      <c r="A25" s="291">
        <f>IF(B25="","",IF(ISBLANK(HomePage!$D$8),HOME,IF(HomePage!$D$8="Percentage",IF(NOT(HomePage!$D$11&gt;0),A26*(1+HomePage!$D$9),IF(A26*(1+HomePage!$D$9)&gt;HomePage!$D$11,HomePage!$D$11,A26*(1+HomePage!$D$9))),IF(NOT(HomePage!$D$11&gt;0),A26+HomePage!$D$10,IF((A26+HomePage!$D$10)&gt;HomePage!$D$11,HomePage!$D$11,(A26+HomePage!$D$10))))))</f>
        <v>18000</v>
      </c>
      <c r="B25" s="302">
        <f>IF(B26="","",IF((B26+1)&gt;HomePage!$D$5,"",(B26+1)))</f>
        <v>9</v>
      </c>
      <c r="K25" s="564">
        <f>IF(K34="","",FV((1+PERCENT!$E$8)^(1/12)-1,12,-A25,,1))</f>
        <v>232052.1962111138</v>
      </c>
      <c r="L25" s="564">
        <f>IF(L34="","",FV(PERCENT!$E$8,1,,-RESULT!K25,))</f>
        <v>264539.50368066976</v>
      </c>
      <c r="M25" s="564">
        <f>IF(M34="","",FV(PERCENT!$E$8,1,,-RESULT!L25,))</f>
        <v>301575.03419596358</v>
      </c>
      <c r="N25" s="564">
        <f>IF(N34="","",FV(PERCENT!$E$8,1,,-RESULT!M25,))</f>
        <v>343795.53898339852</v>
      </c>
      <c r="O25" s="564">
        <f>IF(O34="","",FV(PERCENT!$E$8,1,,-RESULT!N25,))</f>
        <v>391926.91444107436</v>
      </c>
      <c r="P25" s="564">
        <f>IF(P34="","",FV(PERCENT!$E$8,1,,-RESULT!O25,))</f>
        <v>446796.6824628248</v>
      </c>
      <c r="Q25" s="564">
        <f>IF(Q34="","",FV(PERCENT!$E$8,1,,-RESULT!P25,))</f>
        <v>509348.21800762031</v>
      </c>
      <c r="R25" s="303" t="str">
        <f>IF(R34="","",FV(PERCENT!$E$8,1,,-RESULT!Q25,))</f>
        <v/>
      </c>
      <c r="S25" s="303" t="str">
        <f>IF(S34="","",FV(PERCENT!$E$8,1,,-RESULT!R25,))</f>
        <v/>
      </c>
      <c r="T25" s="303" t="str">
        <f>IF(T34="","",FV(PERCENT!$E$8,1,,-RESULT!S25,))</f>
        <v/>
      </c>
      <c r="U25" s="303" t="str">
        <f>IF(U34="","",FV(PERCENT!$E$8,1,,-RESULT!T25,))</f>
        <v/>
      </c>
      <c r="V25" s="303" t="str">
        <f>IF(V34="","",FV(PERCENT!$E$8,1,,-RESULT!U25,))</f>
        <v/>
      </c>
      <c r="W25" s="303" t="str">
        <f>IF(W34="","",FV(PERCENT!$E$8,1,,-RESULT!V25,))</f>
        <v/>
      </c>
      <c r="X25" s="303" t="str">
        <f>IF(X34="","",FV(PERCENT!$E$8,1,,-RESULT!W25,))</f>
        <v/>
      </c>
      <c r="Y25" s="303" t="str">
        <f>IF(Y34="","",FV(PERCENT!$E$8,1,,-RESULT!X25,))</f>
        <v/>
      </c>
      <c r="Z25" s="303" t="str">
        <f>IF(Z34="","",FV(PERCENT!$E$8,1,,-RESULT!Y25,))</f>
        <v/>
      </c>
      <c r="AA25" s="303" t="str">
        <f>IF(AA34="","",FV(PERCENT!$E$8,1,,-RESULT!Z25,))</f>
        <v/>
      </c>
      <c r="AB25" s="303" t="str">
        <f>IF(AB34="","",FV(PERCENT!$E$8,1,,-RESULT!AA25,))</f>
        <v/>
      </c>
      <c r="AC25" s="303" t="str">
        <f>IF(AC34="","",FV(PERCENT!$E$8,1,,-RESULT!AB25,))</f>
        <v/>
      </c>
      <c r="AD25" s="303" t="str">
        <f>IF(AD34="","",FV(PERCENT!$E$8,1,,-RESULT!AC25,))</f>
        <v/>
      </c>
      <c r="AE25" s="303" t="str">
        <f>IF(AE34="","",FV(PERCENT!$E$8,1,,-RESULT!AD25,))</f>
        <v/>
      </c>
      <c r="AF25" s="303" t="str">
        <f>IF(AF34="","",FV(PERCENT!$E$8,1,,-RESULT!AE25,))</f>
        <v/>
      </c>
      <c r="EZ25" s="258">
        <f t="shared" si="0"/>
        <v>12</v>
      </c>
    </row>
    <row r="26" spans="1:156">
      <c r="A26" s="291">
        <f>IF(B26="","",IF(ISBLANK(HomePage!$D$8),HOME,IF(HomePage!$D$8="Percentage",IF(NOT(HomePage!$D$11&gt;0),A27*(1+HomePage!$D$9),IF(A27*(1+HomePage!$D$9)&gt;HomePage!$D$11,HomePage!$D$11,A27*(1+HomePage!$D$9))),IF(NOT(HomePage!$D$11&gt;0),A27+HomePage!$D$10,IF((A27+HomePage!$D$10)&gt;HomePage!$D$11,HomePage!$D$11,(A27+HomePage!$D$10))))))</f>
        <v>17000</v>
      </c>
      <c r="B26" s="302">
        <f>IF(B27="","",IF((B27+1)&gt;HomePage!$D$5,"",(B27+1)))</f>
        <v>8</v>
      </c>
      <c r="J26" s="564">
        <f>IF(J34="","",FV((1+PERCENT!$E$8)^(1/12)-1,12,-A26,,1))</f>
        <v>219160.40753271859</v>
      </c>
      <c r="K26" s="564">
        <f>IF(K34="","",FV(PERCENT!$E$8,1,,-RESULT!J26,))</f>
        <v>249842.86458729921</v>
      </c>
      <c r="L26" s="564">
        <f>IF(L34="","",FV(PERCENT!$E$8,1,,-RESULT!K26,))</f>
        <v>284820.86562952114</v>
      </c>
      <c r="M26" s="564">
        <f>IF(M34="","",FV(PERCENT!$E$8,1,,-RESULT!L26,))</f>
        <v>324695.78681765415</v>
      </c>
      <c r="N26" s="564">
        <f>IF(N34="","",FV(PERCENT!$E$8,1,,-RESULT!M26,))</f>
        <v>370153.19697212579</v>
      </c>
      <c r="O26" s="564">
        <f>IF(O34="","",FV(PERCENT!$E$8,1,,-RESULT!N26,))</f>
        <v>421974.64454822347</v>
      </c>
      <c r="P26" s="564">
        <f>IF(P34="","",FV(PERCENT!$E$8,1,,-RESULT!O26,))</f>
        <v>481051.09478497482</v>
      </c>
      <c r="Q26" s="564">
        <f>IF(Q34="","",FV(PERCENT!$E$8,1,,-RESULT!P26,))</f>
        <v>548398.24805487134</v>
      </c>
      <c r="R26" s="303" t="str">
        <f>IF(R34="","",FV(PERCENT!$E$8,1,,-RESULT!Q26,))</f>
        <v/>
      </c>
      <c r="S26" s="303" t="str">
        <f>IF(S34="","",FV(PERCENT!$E$8,1,,-RESULT!R26,))</f>
        <v/>
      </c>
      <c r="T26" s="303" t="str">
        <f>IF(T34="","",FV(PERCENT!$E$8,1,,-RESULT!S26,))</f>
        <v/>
      </c>
      <c r="U26" s="303" t="str">
        <f>IF(U34="","",FV(PERCENT!$E$8,1,,-RESULT!T26,))</f>
        <v/>
      </c>
      <c r="V26" s="303" t="str">
        <f>IF(V34="","",FV(PERCENT!$E$8,1,,-RESULT!U26,))</f>
        <v/>
      </c>
      <c r="W26" s="303" t="str">
        <f>IF(W34="","",FV(PERCENT!$E$8,1,,-RESULT!V26,))</f>
        <v/>
      </c>
      <c r="X26" s="303" t="str">
        <f>IF(X34="","",FV(PERCENT!$E$8,1,,-RESULT!W26,))</f>
        <v/>
      </c>
      <c r="Y26" s="303" t="str">
        <f>IF(Y34="","",FV(PERCENT!$E$8,1,,-RESULT!X26,))</f>
        <v/>
      </c>
      <c r="Z26" s="303" t="str">
        <f>IF(Z34="","",FV(PERCENT!$E$8,1,,-RESULT!Y26,))</f>
        <v/>
      </c>
      <c r="AA26" s="303" t="str">
        <f>IF(AA34="","",FV(PERCENT!$E$8,1,,-RESULT!Z26,))</f>
        <v/>
      </c>
      <c r="AB26" s="303" t="str">
        <f>IF(AB34="","",FV(PERCENT!$E$8,1,,-RESULT!AA26,))</f>
        <v/>
      </c>
      <c r="AC26" s="303" t="str">
        <f>IF(AC34="","",FV(PERCENT!$E$8,1,,-RESULT!AB26,))</f>
        <v/>
      </c>
      <c r="AD26" s="303" t="str">
        <f>IF(AD34="","",FV(PERCENT!$E$8,1,,-RESULT!AC26,))</f>
        <v/>
      </c>
      <c r="AE26" s="303" t="str">
        <f>IF(AE34="","",FV(PERCENT!$E$8,1,,-RESULT!AD26,))</f>
        <v/>
      </c>
      <c r="AF26" s="303" t="str">
        <f>IF(AF34="","",FV(PERCENT!$E$8,1,,-RESULT!AE26,))</f>
        <v/>
      </c>
      <c r="EZ26" s="258">
        <f t="shared" si="0"/>
        <v>12</v>
      </c>
    </row>
    <row r="27" spans="1:156">
      <c r="A27" s="291">
        <f>IF(B27="","",IF(ISBLANK(HomePage!$D$8),HOME,IF(HomePage!$D$8="Percentage",IF(NOT(HomePage!$D$11&gt;0),A28*(1+HomePage!$D$9),IF(A28*(1+HomePage!$D$9)&gt;HomePage!$D$11,HomePage!$D$11,A28*(1+HomePage!$D$9))),IF(NOT(HomePage!$D$11&gt;0),A28+HomePage!$D$10,IF((A28+HomePage!$D$10)&gt;HomePage!$D$11,HomePage!$D$11,(A28+HomePage!$D$10))))))</f>
        <v>16000</v>
      </c>
      <c r="B27" s="302">
        <f>IF(B28="","",IF((B28+1)&gt;HomePage!$D$5,"",(B28+1)))</f>
        <v>7</v>
      </c>
      <c r="I27" s="564">
        <f>IF(I34="","",FV((1+PERCENT!$E$8)^(1/12)-1,12,-A27,,1))</f>
        <v>206268.61885432337</v>
      </c>
      <c r="J27" s="564">
        <f>IF(J34="","",FV(PERCENT!$E$8,1,,-RESULT!I27,))</f>
        <v>235146.22549392868</v>
      </c>
      <c r="K27" s="564">
        <f>IF(K34="","",FV(PERCENT!$E$8,1,,-RESULT!J27,))</f>
        <v>268066.6970630787</v>
      </c>
      <c r="L27" s="564">
        <f>IF(L34="","",FV(PERCENT!$E$8,1,,-RESULT!K27,))</f>
        <v>305596.03465190972</v>
      </c>
      <c r="M27" s="564">
        <f>IF(M34="","",FV(PERCENT!$E$8,1,,-RESULT!L27,))</f>
        <v>348379.47950317711</v>
      </c>
      <c r="N27" s="564">
        <f>IF(N34="","",FV(PERCENT!$E$8,1,,-RESULT!M27,))</f>
        <v>397152.60663362197</v>
      </c>
      <c r="O27" s="564">
        <f>IF(O34="","",FV(PERCENT!$E$8,1,,-RESULT!N27,))</f>
        <v>452753.9715623291</v>
      </c>
      <c r="P27" s="564">
        <f>IF(P34="","",FV(PERCENT!$E$8,1,,-RESULT!O27,))</f>
        <v>516139.52758105524</v>
      </c>
      <c r="Q27" s="564">
        <f>IF(Q34="","",FV(PERCENT!$E$8,1,,-RESULT!P27,))</f>
        <v>588399.06144240301</v>
      </c>
      <c r="R27" s="303" t="str">
        <f>IF(R34="","",FV(PERCENT!$E$8,1,,-RESULT!Q27,))</f>
        <v/>
      </c>
      <c r="S27" s="303" t="str">
        <f>IF(S34="","",FV(PERCENT!$E$8,1,,-RESULT!R27,))</f>
        <v/>
      </c>
      <c r="T27" s="303" t="str">
        <f>IF(T34="","",FV(PERCENT!$E$8,1,,-RESULT!S27,))</f>
        <v/>
      </c>
      <c r="U27" s="303" t="str">
        <f>IF(U34="","",FV(PERCENT!$E$8,1,,-RESULT!T27,))</f>
        <v/>
      </c>
      <c r="V27" s="303" t="str">
        <f>IF(V34="","",FV(PERCENT!$E$8,1,,-RESULT!U27,))</f>
        <v/>
      </c>
      <c r="W27" s="303" t="str">
        <f>IF(W34="","",FV(PERCENT!$E$8,1,,-RESULT!V27,))</f>
        <v/>
      </c>
      <c r="X27" s="303" t="str">
        <f>IF(X34="","",FV(PERCENT!$E$8,1,,-RESULT!W27,))</f>
        <v/>
      </c>
      <c r="Y27" s="303" t="str">
        <f>IF(Y34="","",FV(PERCENT!$E$8,1,,-RESULT!X27,))</f>
        <v/>
      </c>
      <c r="Z27" s="303" t="str">
        <f>IF(Z34="","",FV(PERCENT!$E$8,1,,-RESULT!Y27,))</f>
        <v/>
      </c>
      <c r="AA27" s="303" t="str">
        <f>IF(AA34="","",FV(PERCENT!$E$8,1,,-RESULT!Z27,))</f>
        <v/>
      </c>
      <c r="AB27" s="303" t="str">
        <f>IF(AB34="","",FV(PERCENT!$E$8,1,,-RESULT!AA27,))</f>
        <v/>
      </c>
      <c r="AC27" s="303" t="str">
        <f>IF(AC34="","",FV(PERCENT!$E$8,1,,-RESULT!AB27,))</f>
        <v/>
      </c>
      <c r="AD27" s="303" t="str">
        <f>IF(AD34="","",FV(PERCENT!$E$8,1,,-RESULT!AC27,))</f>
        <v/>
      </c>
      <c r="AE27" s="303" t="str">
        <f>IF(AE34="","",FV(PERCENT!$E$8,1,,-RESULT!AD27,))</f>
        <v/>
      </c>
      <c r="AF27" s="303" t="str">
        <f>IF(AF34="","",FV(PERCENT!$E$8,1,,-RESULT!AE27,))</f>
        <v/>
      </c>
      <c r="EZ27" s="258">
        <f t="shared" si="0"/>
        <v>12</v>
      </c>
    </row>
    <row r="28" spans="1:156">
      <c r="A28" s="291">
        <f>IF(B28="","",IF(ISBLANK(HomePage!$D$8),HOME,IF(HomePage!$D$8="Percentage",IF(NOT(HomePage!$D$11&gt;0),A29*(1+HomePage!$D$9),IF(A29*(1+HomePage!$D$9)&gt;HomePage!$D$11,HomePage!$D$11,A29*(1+HomePage!$D$9))),IF(NOT(HomePage!$D$11&gt;0),A29+HomePage!$D$10,IF((A29+HomePage!$D$10)&gt;HomePage!$D$11,HomePage!$D$11,(A29+HomePage!$D$10))))))</f>
        <v>15000</v>
      </c>
      <c r="B28" s="302">
        <f>IF(B29="","",IF((B29+1)&gt;HomePage!$D$5,"",(B29+1)))</f>
        <v>6</v>
      </c>
      <c r="H28" s="564">
        <f>IF(H34="","",FV((1+PERCENT!$E$8)^(1/12)-1,12,-A28,,1))</f>
        <v>193376.83017592816</v>
      </c>
      <c r="I28" s="564">
        <f>IF(I34="","",FV(PERCENT!$E$8,1,,-RESULT!H28,))</f>
        <v>220449.58640055812</v>
      </c>
      <c r="J28" s="564">
        <f>IF(J34="","",FV(PERCENT!$E$8,1,,-RESULT!I28,))</f>
        <v>251312.52849663628</v>
      </c>
      <c r="K28" s="564">
        <f>IF(K34="","",FV(PERCENT!$E$8,1,,-RESULT!J28,))</f>
        <v>286496.28248616541</v>
      </c>
      <c r="L28" s="564">
        <f>IF(L34="","",FV(PERCENT!$E$8,1,,-RESULT!K28,))</f>
        <v>326605.7620342286</v>
      </c>
      <c r="M28" s="564">
        <f>IF(M34="","",FV(PERCENT!$E$8,1,,-RESULT!L28,))</f>
        <v>372330.56871902064</v>
      </c>
      <c r="N28" s="564">
        <f>IF(N34="","",FV(PERCENT!$E$8,1,,-RESULT!M28,))</f>
        <v>424456.84833968355</v>
      </c>
      <c r="O28" s="564">
        <f>IF(O34="","",FV(PERCENT!$E$8,1,,-RESULT!N28,))</f>
        <v>483880.80710723932</v>
      </c>
      <c r="P28" s="564">
        <f>IF(P34="","",FV(PERCENT!$E$8,1,,-RESULT!O28,))</f>
        <v>551624.12010225293</v>
      </c>
      <c r="Q28" s="564">
        <f>IF(Q34="","",FV(PERCENT!$E$8,1,,-RESULT!P28,))</f>
        <v>628851.49691656837</v>
      </c>
      <c r="R28" s="303" t="str">
        <f>IF(R34="","",FV(PERCENT!$E$8,1,,-RESULT!Q28,))</f>
        <v/>
      </c>
      <c r="S28" s="303" t="str">
        <f>IF(S34="","",FV(PERCENT!$E$8,1,,-RESULT!R28,))</f>
        <v/>
      </c>
      <c r="T28" s="303" t="str">
        <f>IF(T34="","",FV(PERCENT!$E$8,1,,-RESULT!S28,))</f>
        <v/>
      </c>
      <c r="U28" s="303" t="str">
        <f>IF(U34="","",FV(PERCENT!$E$8,1,,-RESULT!T28,))</f>
        <v/>
      </c>
      <c r="V28" s="303" t="str">
        <f>IF(V34="","",FV(PERCENT!$E$8,1,,-RESULT!U28,))</f>
        <v/>
      </c>
      <c r="W28" s="303" t="str">
        <f>IF(W34="","",FV(PERCENT!$E$8,1,,-RESULT!V28,))</f>
        <v/>
      </c>
      <c r="X28" s="303" t="str">
        <f>IF(X34="","",FV(PERCENT!$E$8,1,,-RESULT!W28,))</f>
        <v/>
      </c>
      <c r="Y28" s="303" t="str">
        <f>IF(Y34="","",FV(PERCENT!$E$8,1,,-RESULT!X28,))</f>
        <v/>
      </c>
      <c r="Z28" s="303" t="str">
        <f>IF(Z34="","",FV(PERCENT!$E$8,1,,-RESULT!Y28,))</f>
        <v/>
      </c>
      <c r="AA28" s="303" t="str">
        <f>IF(AA34="","",FV(PERCENT!$E$8,1,,-RESULT!Z28,))</f>
        <v/>
      </c>
      <c r="AB28" s="303" t="str">
        <f>IF(AB34="","",FV(PERCENT!$E$8,1,,-RESULT!AA28,))</f>
        <v/>
      </c>
      <c r="AC28" s="303" t="str">
        <f>IF(AC34="","",FV(PERCENT!$E$8,1,,-RESULT!AB28,))</f>
        <v/>
      </c>
      <c r="AD28" s="303" t="str">
        <f>IF(AD34="","",FV(PERCENT!$E$8,1,,-RESULT!AC28,))</f>
        <v/>
      </c>
      <c r="AE28" s="303" t="str">
        <f>IF(AE34="","",FV(PERCENT!$E$8,1,,-RESULT!AD28,))</f>
        <v/>
      </c>
      <c r="AF28" s="303" t="str">
        <f>IF(AF34="","",FV(PERCENT!$E$8,1,,-RESULT!AE28,))</f>
        <v/>
      </c>
      <c r="EZ28" s="258">
        <f t="shared" si="0"/>
        <v>12</v>
      </c>
    </row>
    <row r="29" spans="1:156">
      <c r="A29" s="291">
        <f>IF(B29="","",IF(ISBLANK(HomePage!$D$8),HOME,IF(HomePage!$D$8="Percentage",IF(NOT(HomePage!$D$11&gt;0),A30*(1+HomePage!$D$9),IF(A30*(1+HomePage!$D$9)&gt;HomePage!$D$11,HomePage!$D$11,A30*(1+HomePage!$D$9))),IF(NOT(HomePage!$D$11&gt;0),A30+HomePage!$D$10,IF((A30+HomePage!$D$10)&gt;HomePage!$D$11,HomePage!$D$11,(A30+HomePage!$D$10))))))</f>
        <v>14000</v>
      </c>
      <c r="B29" s="302">
        <f>IF(B30="","",IF((B30+1)&gt;HomePage!$D$5,"",(B30+1)))</f>
        <v>5</v>
      </c>
      <c r="G29" s="564">
        <f>IF(G34="","",FV((1+PERCENT!$E$8)^(1/12)-1,12,-A29,,1))</f>
        <v>180485.04149753295</v>
      </c>
      <c r="H29" s="564">
        <f>IF(H34="","",FV(PERCENT!$E$8,1,,-RESULT!G29,))</f>
        <v>205752.94730718757</v>
      </c>
      <c r="I29" s="564">
        <f>IF(I34="","",FV(PERCENT!$E$8,1,,-RESULT!H29,))</f>
        <v>234558.35993019387</v>
      </c>
      <c r="J29" s="564">
        <f>IF(J34="","",FV(PERCENT!$E$8,1,,-RESULT!I29,))</f>
        <v>267396.53032042104</v>
      </c>
      <c r="K29" s="564">
        <f>IF(K34="","",FV(PERCENT!$E$8,1,,-RESULT!J29,))</f>
        <v>304832.04456528003</v>
      </c>
      <c r="L29" s="564">
        <f>IF(L34="","",FV(PERCENT!$E$8,1,,-RESULT!K29,))</f>
        <v>347508.53080441925</v>
      </c>
      <c r="M29" s="564">
        <f>IF(M34="","",FV(PERCENT!$E$8,1,,-RESULT!L29,))</f>
        <v>396159.725117038</v>
      </c>
      <c r="N29" s="564">
        <f>IF(N34="","",FV(PERCENT!$E$8,1,,-RESULT!M29,))</f>
        <v>451622.0866334234</v>
      </c>
      <c r="O29" s="564">
        <f>IF(O34="","",FV(PERCENT!$E$8,1,,-RESULT!N29,))</f>
        <v>514849.17876210273</v>
      </c>
      <c r="P29" s="564">
        <f>IF(P34="","",FV(PERCENT!$E$8,1,,-RESULT!O29,))</f>
        <v>586928.06378879712</v>
      </c>
      <c r="Q29" s="564">
        <f>IF(Q34="","",FV(PERCENT!$E$8,1,,-RESULT!P29,))</f>
        <v>669097.99271922885</v>
      </c>
      <c r="R29" s="303" t="str">
        <f>IF(R34="","",FV(PERCENT!$E$8,1,,-RESULT!Q29,))</f>
        <v/>
      </c>
      <c r="S29" s="303" t="str">
        <f>IF(S34="","",FV(PERCENT!$E$8,1,,-RESULT!R29,))</f>
        <v/>
      </c>
      <c r="T29" s="303" t="str">
        <f>IF(T34="","",FV(PERCENT!$E$8,1,,-RESULT!S29,))</f>
        <v/>
      </c>
      <c r="U29" s="303" t="str">
        <f>IF(U34="","",FV(PERCENT!$E$8,1,,-RESULT!T29,))</f>
        <v/>
      </c>
      <c r="V29" s="303" t="str">
        <f>IF(V34="","",FV(PERCENT!$E$8,1,,-RESULT!U29,))</f>
        <v/>
      </c>
      <c r="W29" s="303" t="str">
        <f>IF(W34="","",FV(PERCENT!$E$8,1,,-RESULT!V29,))</f>
        <v/>
      </c>
      <c r="X29" s="303" t="str">
        <f>IF(X34="","",FV(PERCENT!$E$8,1,,-RESULT!W29,))</f>
        <v/>
      </c>
      <c r="Y29" s="303" t="str">
        <f>IF(Y34="","",FV(PERCENT!$E$8,1,,-RESULT!X29,))</f>
        <v/>
      </c>
      <c r="Z29" s="303" t="str">
        <f>IF(Z34="","",FV(PERCENT!$E$8,1,,-RESULT!Y29,))</f>
        <v/>
      </c>
      <c r="AA29" s="303" t="str">
        <f>IF(AA34="","",FV(PERCENT!$E$8,1,,-RESULT!Z29,))</f>
        <v/>
      </c>
      <c r="AB29" s="303" t="str">
        <f>IF(AB34="","",FV(PERCENT!$E$8,1,,-RESULT!AA29,))</f>
        <v/>
      </c>
      <c r="AC29" s="303" t="str">
        <f>IF(AC34="","",FV(PERCENT!$E$8,1,,-RESULT!AB29,))</f>
        <v/>
      </c>
      <c r="AD29" s="303" t="str">
        <f>IF(AD34="","",FV(PERCENT!$E$8,1,,-RESULT!AC29,))</f>
        <v/>
      </c>
      <c r="AE29" s="303" t="str">
        <f>IF(AE34="","",FV(PERCENT!$E$8,1,,-RESULT!AD29,))</f>
        <v/>
      </c>
      <c r="AF29" s="303" t="str">
        <f>IF(AF34="","",FV(PERCENT!$E$8,1,,-RESULT!AE29,))</f>
        <v/>
      </c>
      <c r="EZ29" s="258">
        <f t="shared" si="0"/>
        <v>12</v>
      </c>
    </row>
    <row r="30" spans="1:156">
      <c r="A30" s="291">
        <f>IF(B30="","",IF(ISBLANK(HomePage!$D$8),HOME,IF(HomePage!$D$8="Percentage",IF(NOT(HomePage!$D$11&gt;0),A31*(1+HomePage!$D$9),IF(A31*(1+HomePage!$D$9)&gt;HomePage!$D$11,HomePage!$D$11,A31*(1+HomePage!$D$9))),IF(NOT(HomePage!$D$11&gt;0),A31+HomePage!$D$10,IF((A31+HomePage!$D$10)&gt;HomePage!$D$11,HomePage!$D$11,(A31+HomePage!$D$10))))))</f>
        <v>13000</v>
      </c>
      <c r="B30" s="302">
        <f>IF(B31="","",IF((B31+1)&gt;HomePage!$D$5,"",(B31+1)))</f>
        <v>4</v>
      </c>
      <c r="F30" s="564">
        <f>IF(F34="","",FV((1+PERCENT!$E$8)^(1/12)-1,12,-A30,,1))</f>
        <v>167593.25281913774</v>
      </c>
      <c r="G30" s="564">
        <f>IF(G34="","",FV(PERCENT!$E$8,1,,-RESULT!F30,))</f>
        <v>191056.30821381704</v>
      </c>
      <c r="H30" s="564">
        <f>IF(H34="","",FV(PERCENT!$E$8,1,,-RESULT!G30,))</f>
        <v>217804.19136375145</v>
      </c>
      <c r="I30" s="564">
        <f>IF(I34="","",FV(PERCENT!$E$8,1,,-RESULT!H30,))</f>
        <v>248296.77815467669</v>
      </c>
      <c r="J30" s="564">
        <f>IF(J34="","",FV(PERCENT!$E$8,1,,-RESULT!I30,))</f>
        <v>283058.32709633146</v>
      </c>
      <c r="K30" s="564">
        <f>IF(K34="","",FV(PERCENT!$E$8,1,,-RESULT!J30,))</f>
        <v>322686.49288981792</v>
      </c>
      <c r="L30" s="564">
        <f>IF(L34="","",FV(PERCENT!$E$8,1,,-RESULT!K30,))</f>
        <v>367862.60189439246</v>
      </c>
      <c r="M30" s="564">
        <f>IF(M34="","",FV(PERCENT!$E$8,1,,-RESULT!L30,))</f>
        <v>419363.36615960742</v>
      </c>
      <c r="N30" s="564">
        <f>IF(N34="","",FV(PERCENT!$E$8,1,,-RESULT!M30,))</f>
        <v>478074.23742195254</v>
      </c>
      <c r="O30" s="564">
        <f>IF(O34="","",FV(PERCENT!$E$8,1,,-RESULT!N30,))</f>
        <v>545004.63066102599</v>
      </c>
      <c r="P30" s="564">
        <f>IF(P34="","",FV(PERCENT!$E$8,1,,-RESULT!O30,))</f>
        <v>621305.27895356971</v>
      </c>
      <c r="Q30" s="564">
        <f>IF(Q34="","",FV(PERCENT!$E$8,1,,-RESULT!P30,))</f>
        <v>708288.01800706959</v>
      </c>
      <c r="R30" s="303" t="str">
        <f>IF(R34="","",FV(PERCENT!$E$8,1,,-RESULT!Q30,))</f>
        <v/>
      </c>
      <c r="S30" s="303" t="str">
        <f>IF(S34="","",FV(PERCENT!$E$8,1,,-RESULT!R30,))</f>
        <v/>
      </c>
      <c r="T30" s="303" t="str">
        <f>IF(T34="","",FV(PERCENT!$E$8,1,,-RESULT!S30,))</f>
        <v/>
      </c>
      <c r="U30" s="303" t="str">
        <f>IF(U34="","",FV(PERCENT!$E$8,1,,-RESULT!T30,))</f>
        <v/>
      </c>
      <c r="V30" s="303" t="str">
        <f>IF(V34="","",FV(PERCENT!$E$8,1,,-RESULT!U30,))</f>
        <v/>
      </c>
      <c r="W30" s="303" t="str">
        <f>IF(W34="","",FV(PERCENT!$E$8,1,,-RESULT!V30,))</f>
        <v/>
      </c>
      <c r="X30" s="303" t="str">
        <f>IF(X34="","",FV(PERCENT!$E$8,1,,-RESULT!W30,))</f>
        <v/>
      </c>
      <c r="Y30" s="303" t="str">
        <f>IF(Y34="","",FV(PERCENT!$E$8,1,,-RESULT!X30,))</f>
        <v/>
      </c>
      <c r="Z30" s="303" t="str">
        <f>IF(Z34="","",FV(PERCENT!$E$8,1,,-RESULT!Y30,))</f>
        <v/>
      </c>
      <c r="AA30" s="303" t="str">
        <f>IF(AA34="","",FV(PERCENT!$E$8,1,,-RESULT!Z30,))</f>
        <v/>
      </c>
      <c r="AB30" s="303" t="str">
        <f>IF(AB34="","",FV(PERCENT!$E$8,1,,-RESULT!AA30,))</f>
        <v/>
      </c>
      <c r="AC30" s="303" t="str">
        <f>IF(AC34="","",FV(PERCENT!$E$8,1,,-RESULT!AB30,))</f>
        <v/>
      </c>
      <c r="AD30" s="303" t="str">
        <f>IF(AD34="","",FV(PERCENT!$E$8,1,,-RESULT!AC30,))</f>
        <v/>
      </c>
      <c r="AE30" s="303" t="str">
        <f>IF(AE34="","",FV(PERCENT!$E$8,1,,-RESULT!AD30,))</f>
        <v/>
      </c>
      <c r="AF30" s="303" t="str">
        <f>IF(AF34="","",FV(PERCENT!$E$8,1,,-RESULT!AE30,))</f>
        <v/>
      </c>
      <c r="EZ30" s="258">
        <f t="shared" si="0"/>
        <v>12</v>
      </c>
    </row>
    <row r="31" spans="1:156">
      <c r="A31" s="291">
        <f>IF(B31="","",IF(ISBLANK(HomePage!$D$8),HOME,IF(HomePage!$D$8="Percentage",IF(NOT(HomePage!$D$11&gt;0),A32*(1+HomePage!$D$9),IF(A32*(1+HomePage!$D$9)&gt;HomePage!$D$11,HomePage!$D$11,A32*(1+HomePage!$D$9))),IF(NOT(HomePage!$D$11&gt;0),A32+HomePage!$D$10,IF((A32+HomePage!$D$10)&gt;HomePage!$D$11,HomePage!$D$11,(A32+HomePage!$D$10))))))</f>
        <v>12000</v>
      </c>
      <c r="B31" s="302">
        <f>IF(B32="","",IF((B32+1)&gt;HomePage!$D$5,"",(B32+1)))</f>
        <v>3</v>
      </c>
      <c r="E31" s="564">
        <f>IF(E34="","",FV((1+PERCENT!$E$8)^(1/12)-1,12,-A31,,1))</f>
        <v>154701.46414074252</v>
      </c>
      <c r="F31" s="564">
        <f>IF(F34="","",FV(PERCENT!$E$8,1,,-RESULT!E31,))</f>
        <v>176359.66912044649</v>
      </c>
      <c r="G31" s="564">
        <f>IF(G34="","",FV(PERCENT!$E$8,1,,-RESULT!F31,))</f>
        <v>201050.02279730901</v>
      </c>
      <c r="H31" s="564">
        <f>IF(H34="","",FV(PERCENT!$E$8,1,,-RESULT!G31,))</f>
        <v>229197.02598893229</v>
      </c>
      <c r="I31" s="564">
        <f>IF(I34="","",FV(PERCENT!$E$8,1,,-RESULT!H31,))</f>
        <v>261284.60962738283</v>
      </c>
      <c r="J31" s="564">
        <f>IF(J34="","",FV(PERCENT!$E$8,1,,-RESULT!I31,))</f>
        <v>297864.45497521647</v>
      </c>
      <c r="K31" s="564">
        <f>IF(K34="","",FV(PERCENT!$E$8,1,,-RESULT!J31,))</f>
        <v>339565.47867174679</v>
      </c>
      <c r="L31" s="564">
        <f>IF(L34="","",FV(PERCENT!$E$8,1,,-RESULT!K31,))</f>
        <v>387104.64568579139</v>
      </c>
      <c r="M31" s="564">
        <f>IF(M34="","",FV(PERCENT!$E$8,1,,-RESULT!L31,))</f>
        <v>441299.29608180223</v>
      </c>
      <c r="N31" s="564">
        <f>IF(N34="","",FV(PERCENT!$E$8,1,,-RESULT!M31,))</f>
        <v>503081.19753325457</v>
      </c>
      <c r="O31" s="564">
        <f>IF(O34="","",FV(PERCENT!$E$8,1,,-RESULT!N31,))</f>
        <v>573512.56518791022</v>
      </c>
      <c r="P31" s="564">
        <f>IF(P34="","",FV(PERCENT!$E$8,1,,-RESULT!O31,))</f>
        <v>653804.32431421778</v>
      </c>
      <c r="Q31" s="564">
        <f>IF(Q34="","",FV(PERCENT!$E$8,1,,-RESULT!P31,))</f>
        <v>745336.92971820838</v>
      </c>
      <c r="R31" s="303" t="str">
        <f>IF(R34="","",FV(PERCENT!$E$8,1,,-RESULT!Q31,))</f>
        <v/>
      </c>
      <c r="S31" s="303" t="str">
        <f>IF(S34="","",FV(PERCENT!$E$8,1,,-RESULT!R31,))</f>
        <v/>
      </c>
      <c r="T31" s="303" t="str">
        <f>IF(T34="","",FV(PERCENT!$E$8,1,,-RESULT!S31,))</f>
        <v/>
      </c>
      <c r="U31" s="303" t="str">
        <f>IF(U34="","",FV(PERCENT!$E$8,1,,-RESULT!T31,))</f>
        <v/>
      </c>
      <c r="V31" s="303" t="str">
        <f>IF(V34="","",FV(PERCENT!$E$8,1,,-RESULT!U31,))</f>
        <v/>
      </c>
      <c r="W31" s="303" t="str">
        <f>IF(W34="","",FV(PERCENT!$E$8,1,,-RESULT!V31,))</f>
        <v/>
      </c>
      <c r="X31" s="303" t="str">
        <f>IF(X34="","",FV(PERCENT!$E$8,1,,-RESULT!W31,))</f>
        <v/>
      </c>
      <c r="Y31" s="303" t="str">
        <f>IF(Y34="","",FV(PERCENT!$E$8,1,,-RESULT!X31,))</f>
        <v/>
      </c>
      <c r="Z31" s="303" t="str">
        <f>IF(Z34="","",FV(PERCENT!$E$8,1,,-RESULT!Y31,))</f>
        <v/>
      </c>
      <c r="AA31" s="303" t="str">
        <f>IF(AA34="","",FV(PERCENT!$E$8,1,,-RESULT!Z31,))</f>
        <v/>
      </c>
      <c r="AB31" s="303" t="str">
        <f>IF(AB34="","",FV(PERCENT!$E$8,1,,-RESULT!AA31,))</f>
        <v/>
      </c>
      <c r="AC31" s="303" t="str">
        <f>IF(AC34="","",FV(PERCENT!$E$8,1,,-RESULT!AB31,))</f>
        <v/>
      </c>
      <c r="AD31" s="303" t="str">
        <f>IF(AD34="","",FV(PERCENT!$E$8,1,,-RESULT!AC31,))</f>
        <v/>
      </c>
      <c r="AE31" s="303" t="str">
        <f>IF(AE34="","",FV(PERCENT!$E$8,1,,-RESULT!AD31,))</f>
        <v/>
      </c>
      <c r="AF31" s="303" t="str">
        <f>IF(AF34="","",FV(PERCENT!$E$8,1,,-RESULT!AE31,))</f>
        <v/>
      </c>
      <c r="EZ31" s="258">
        <f t="shared" si="0"/>
        <v>12</v>
      </c>
    </row>
    <row r="32" spans="1:156">
      <c r="A32" s="291">
        <f>IF(B32="","",IF(ISBLANK(HomePage!$D$8),HOME,IF(HomePage!$D$8="Percentage",IF(NOT(HomePage!$D$11&gt;0),A33*(1+HomePage!$D$9),IF(A33*(1+HomePage!$D$9)&gt;HomePage!$D$11,HomePage!$D$11,A33*(1+HomePage!$D$9))),IF(NOT(HomePage!$D$11&gt;0),A33+HomePage!$D$10,IF((A33+HomePage!$D$10)&gt;HomePage!$D$11,HomePage!$D$11,(A33+HomePage!$D$10))))))</f>
        <v>11000</v>
      </c>
      <c r="B32" s="302">
        <f>IF(B33="","",IF((B33+1)&gt;HomePage!$D$5,"",(B33+1)))</f>
        <v>2</v>
      </c>
      <c r="D32" s="564">
        <f>IF(D34="","",FV((1+PERCENT!$E$8)^(1/12)-1,12,-A32,,1))</f>
        <v>141809.67546234731</v>
      </c>
      <c r="E32" s="564">
        <f>IF(E34="","",FV(PERCENT!$E$8,1,,-RESULT!D32,))</f>
        <v>161663.03002707596</v>
      </c>
      <c r="F32" s="564">
        <f>IF(F34="","",FV(PERCENT!$E$8,1,,-RESULT!E32,))</f>
        <v>184295.85423086662</v>
      </c>
      <c r="G32" s="564">
        <f>IF(G34="","",FV(PERCENT!$E$8,1,,-RESULT!F32,))</f>
        <v>210097.27382318798</v>
      </c>
      <c r="H32" s="564">
        <f>IF(H34="","",FV(PERCENT!$E$8,1,,-RESULT!G32,))</f>
        <v>239510.89215843432</v>
      </c>
      <c r="I32" s="564">
        <f>IF(I34="","",FV(PERCENT!$E$8,1,,-RESULT!H32,))</f>
        <v>273042.41706061515</v>
      </c>
      <c r="J32" s="564">
        <f>IF(J34="","",FV(PERCENT!$E$8,1,,-RESULT!I32,))</f>
        <v>311268.35544910131</v>
      </c>
      <c r="K32" s="564">
        <f>IF(K34="","",FV(PERCENT!$E$8,1,,-RESULT!J32,))</f>
        <v>354845.92521197553</v>
      </c>
      <c r="L32" s="564">
        <f>IF(L34="","",FV(PERCENT!$E$8,1,,-RESULT!K32,))</f>
        <v>404524.35474165215</v>
      </c>
      <c r="M32" s="564">
        <f>IF(M34="","",FV(PERCENT!$E$8,1,,-RESULT!L32,))</f>
        <v>461157.7644054835</v>
      </c>
      <c r="N32" s="564">
        <f>IF(N34="","",FV(PERCENT!$E$8,1,,-RESULT!M32,))</f>
        <v>525719.8514222512</v>
      </c>
      <c r="O32" s="564">
        <f>IF(O34="","",FV(PERCENT!$E$8,1,,-RESULT!N32,))</f>
        <v>599320.63062136644</v>
      </c>
      <c r="P32" s="564">
        <f>IF(P34="","",FV(PERCENT!$E$8,1,,-RESULT!O32,))</f>
        <v>683225.51890835783</v>
      </c>
      <c r="Q32" s="564">
        <f>IF(Q34="","",FV(PERCENT!$E$8,1,,-RESULT!P32,))</f>
        <v>778877.09155552799</v>
      </c>
      <c r="R32" s="303" t="str">
        <f>IF(R34="","",FV(PERCENT!$E$8,1,,-RESULT!Q32,))</f>
        <v/>
      </c>
      <c r="S32" s="303" t="str">
        <f>IF(S34="","",FV(PERCENT!$E$8,1,,-RESULT!R32,))</f>
        <v/>
      </c>
      <c r="T32" s="303" t="str">
        <f>IF(T34="","",FV(PERCENT!$E$8,1,,-RESULT!S32,))</f>
        <v/>
      </c>
      <c r="U32" s="303" t="str">
        <f>IF(U34="","",FV(PERCENT!$E$8,1,,-RESULT!T32,))</f>
        <v/>
      </c>
      <c r="V32" s="303" t="str">
        <f>IF(V34="","",FV(PERCENT!$E$8,1,,-RESULT!U32,))</f>
        <v/>
      </c>
      <c r="W32" s="303" t="str">
        <f>IF(W34="","",FV(PERCENT!$E$8,1,,-RESULT!V32,))</f>
        <v/>
      </c>
      <c r="X32" s="303" t="str">
        <f>IF(X34="","",FV(PERCENT!$E$8,1,,-RESULT!W32,))</f>
        <v/>
      </c>
      <c r="Y32" s="303" t="str">
        <f>IF(Y34="","",FV(PERCENT!$E$8,1,,-RESULT!X32,))</f>
        <v/>
      </c>
      <c r="Z32" s="303" t="str">
        <f>IF(Z34="","",FV(PERCENT!$E$8,1,,-RESULT!Y32,))</f>
        <v/>
      </c>
      <c r="AA32" s="303" t="str">
        <f>IF(AA34="","",FV(PERCENT!$E$8,1,,-RESULT!Z32,))</f>
        <v/>
      </c>
      <c r="AB32" s="303" t="str">
        <f>IF(AB34="","",FV(PERCENT!$E$8,1,,-RESULT!AA32,))</f>
        <v/>
      </c>
      <c r="AC32" s="303" t="str">
        <f>IF(AC34="","",FV(PERCENT!$E$8,1,,-RESULT!AB32,))</f>
        <v/>
      </c>
      <c r="AD32" s="303" t="str">
        <f>IF(AD34="","",FV(PERCENT!$E$8,1,,-RESULT!AC32,))</f>
        <v/>
      </c>
      <c r="AE32" s="303" t="str">
        <f>IF(AE34="","",FV(PERCENT!$E$8,1,,-RESULT!AD32,))</f>
        <v/>
      </c>
      <c r="AF32" s="303" t="str">
        <f>IF(AF34="","",FV(PERCENT!$E$8,1,,-RESULT!AE32,))</f>
        <v/>
      </c>
      <c r="EZ32" s="258">
        <f t="shared" si="0"/>
        <v>12</v>
      </c>
    </row>
    <row r="33" spans="1:156">
      <c r="A33" s="291">
        <f>HOME</f>
        <v>10000</v>
      </c>
      <c r="B33" s="304">
        <v>1</v>
      </c>
      <c r="C33" s="564">
        <f>IF(C34="","",FV((1+PERCENT!$E$8)^(1/12)-1,12,-A33,,1))</f>
        <v>128917.8867839521</v>
      </c>
      <c r="D33" s="564">
        <f>IF(D34="","",FV(PERCENT!$E$8,1,,-RESULT!C33,))</f>
        <v>146966.39093370541</v>
      </c>
      <c r="E33" s="564">
        <f>IF(E34="","",FV(PERCENT!$E$8,1,,-RESULT!D33,))</f>
        <v>167541.68566442418</v>
      </c>
      <c r="F33" s="564">
        <f>IF(F34="","",FV(PERCENT!$E$8,1,,-RESULT!E33,))</f>
        <v>190997.52165744358</v>
      </c>
      <c r="G33" s="564">
        <f>IF(G34="","",FV(PERCENT!$E$8,1,,-RESULT!F33,))</f>
        <v>217737.17468948569</v>
      </c>
      <c r="H33" s="564">
        <f>IF(H34="","",FV(PERCENT!$E$8,1,,-RESULT!G33,))</f>
        <v>248220.37914601373</v>
      </c>
      <c r="I33" s="564">
        <f>IF(I34="","",FV(PERCENT!$E$8,1,,-RESULT!H33,))</f>
        <v>282971.2322264557</v>
      </c>
      <c r="J33" s="564">
        <f>IF(J34="","",FV(PERCENT!$E$8,1,,-RESULT!I33,))</f>
        <v>322587.20473815955</v>
      </c>
      <c r="K33" s="564">
        <f>IF(K34="","",FV(PERCENT!$E$8,1,,-RESULT!J33,))</f>
        <v>367749.41340150195</v>
      </c>
      <c r="L33" s="564">
        <f>IF(L34="","",FV(PERCENT!$E$8,1,,-RESULT!K33,))</f>
        <v>419234.33127771225</v>
      </c>
      <c r="M33" s="564">
        <f>IF(M34="","",FV(PERCENT!$E$8,1,,-RESULT!L33,))</f>
        <v>477927.13765659201</v>
      </c>
      <c r="N33" s="564">
        <f>IF(N34="","",FV(PERCENT!$E$8,1,,-RESULT!M33,))</f>
        <v>544836.93692851497</v>
      </c>
      <c r="O33" s="564">
        <f>IF(O34="","",FV(PERCENT!$E$8,1,,-RESULT!N33,))</f>
        <v>621114.10809850716</v>
      </c>
      <c r="P33" s="564">
        <f>IF(P34="","",FV(PERCENT!$E$8,1,,-RESULT!O33,))</f>
        <v>708070.08323229826</v>
      </c>
      <c r="Q33" s="564">
        <f>IF(Q34="","",FV(PERCENT!$E$8,1,,-RESULT!P33,))</f>
        <v>807199.8948848201</v>
      </c>
      <c r="R33" s="303" t="str">
        <f>IF(R34="","",FV(PERCENT!$E$8,1,,-RESULT!Q33,))</f>
        <v/>
      </c>
      <c r="S33" s="303" t="str">
        <f>IF(S34="","",FV(PERCENT!$E$8,1,,-RESULT!R33,))</f>
        <v/>
      </c>
      <c r="T33" s="303" t="str">
        <f>IF(T34="","",FV(PERCENT!$E$8,1,,-RESULT!S33,))</f>
        <v/>
      </c>
      <c r="U33" s="303" t="str">
        <f>IF(U34="","",FV(PERCENT!$E$8,1,,-RESULT!T33,))</f>
        <v/>
      </c>
      <c r="V33" s="303" t="str">
        <f>IF(V34="","",FV(PERCENT!$E$8,1,,-RESULT!U33,))</f>
        <v/>
      </c>
      <c r="W33" s="303" t="str">
        <f>IF(W34="","",FV(PERCENT!$E$8,1,,-RESULT!V33,))</f>
        <v/>
      </c>
      <c r="X33" s="303" t="str">
        <f>IF(X34="","",FV(PERCENT!$E$8,1,,-RESULT!W33,))</f>
        <v/>
      </c>
      <c r="Y33" s="303" t="str">
        <f>IF(Y34="","",FV(PERCENT!$E$8,1,,-RESULT!X33,))</f>
        <v/>
      </c>
      <c r="Z33" s="303" t="str">
        <f>IF(Z34="","",FV(PERCENT!$E$8,1,,-RESULT!Y33,))</f>
        <v/>
      </c>
      <c r="AA33" s="303" t="str">
        <f>IF(AA34="","",FV(PERCENT!$E$8,1,,-RESULT!Z33,))</f>
        <v/>
      </c>
      <c r="AB33" s="303" t="str">
        <f>IF(AB34="","",FV(PERCENT!$E$8,1,,-RESULT!AA33,))</f>
        <v/>
      </c>
      <c r="AC33" s="303" t="str">
        <f>IF(AC34="","",FV(PERCENT!$E$8,1,,-RESULT!AB33,))</f>
        <v/>
      </c>
      <c r="AD33" s="303" t="str">
        <f>IF(AD34="","",FV(PERCENT!$E$8,1,,-RESULT!AC33,))</f>
        <v/>
      </c>
      <c r="AE33" s="303" t="str">
        <f>IF(AE34="","",FV(PERCENT!$E$8,1,,-RESULT!AD33,))</f>
        <v/>
      </c>
      <c r="AF33" s="303" t="str">
        <f>IF(AF34="","",FV(PERCENT!$E$8,1,,-RESULT!AE33,))</f>
        <v/>
      </c>
      <c r="EZ33" s="258">
        <f t="shared" si="0"/>
        <v>12</v>
      </c>
    </row>
    <row r="34" spans="1:156">
      <c r="A34" s="305" t="s">
        <v>274</v>
      </c>
      <c r="B34" s="306" t="s">
        <v>275</v>
      </c>
      <c r="C34" s="307">
        <v>1</v>
      </c>
      <c r="D34" s="308">
        <f>IF(C34="","",IF((C34+1)&gt;PERCENT!$E$7,"",(C34+1)))</f>
        <v>2</v>
      </c>
      <c r="E34" s="308">
        <f>IF(D34="","",IF((D34+1)&gt;PERCENT!$E$7,"",(D34+1)))</f>
        <v>3</v>
      </c>
      <c r="F34" s="308">
        <f>IF(E34="","",IF((E34+1)&gt;PERCENT!$E$7,"",(E34+1)))</f>
        <v>4</v>
      </c>
      <c r="G34" s="308">
        <f>IF(F34="","",IF((F34+1)&gt;PERCENT!$E$7,"",(F34+1)))</f>
        <v>5</v>
      </c>
      <c r="H34" s="308">
        <f>IF(G34="","",IF((G34+1)&gt;PERCENT!$E$7,"",(G34+1)))</f>
        <v>6</v>
      </c>
      <c r="I34" s="308">
        <f>IF(H34="","",IF((H34+1)&gt;PERCENT!$E$7,"",(H34+1)))</f>
        <v>7</v>
      </c>
      <c r="J34" s="308">
        <f>IF(I34="","",IF((I34+1)&gt;PERCENT!$E$7,"",(I34+1)))</f>
        <v>8</v>
      </c>
      <c r="K34" s="308">
        <f>IF(J34="","",IF((J34+1)&gt;PERCENT!$E$7,"",(J34+1)))</f>
        <v>9</v>
      </c>
      <c r="L34" s="308">
        <f>IF(K34="","",IF((K34+1)&gt;PERCENT!$E$7,"",(K34+1)))</f>
        <v>10</v>
      </c>
      <c r="M34" s="308">
        <f>IF(L34="","",IF((L34+1)&gt;PERCENT!$E$7,"",(L34+1)))</f>
        <v>11</v>
      </c>
      <c r="N34" s="308">
        <f>IF(M34="","",IF((M34+1)&gt;PERCENT!$E$7,"",(M34+1)))</f>
        <v>12</v>
      </c>
      <c r="O34" s="308">
        <f>IF(N34="","",IF((N34+1)&gt;PERCENT!$E$7,"",(N34+1)))</f>
        <v>13</v>
      </c>
      <c r="P34" s="308">
        <f>IF(O34="","",IF((O34+1)&gt;PERCENT!$E$7,"",(O34+1)))</f>
        <v>14</v>
      </c>
      <c r="Q34" s="308">
        <f>IF(P34="","",IF((P34+1)&gt;PERCENT!$E$7,"",(P34+1)))</f>
        <v>15</v>
      </c>
      <c r="R34" s="308" t="str">
        <f>IF(Q34="","",IF((Q34+1)&gt;PERCENT!$E$7,"",(Q34+1)))</f>
        <v/>
      </c>
      <c r="S34" s="308" t="str">
        <f>IF(R34="","",IF((R34+1)&gt;PERCENT!$E$7,"",(R34+1)))</f>
        <v/>
      </c>
      <c r="T34" s="308" t="str">
        <f>IF(S34="","",IF((S34+1)&gt;PERCENT!$E$7,"",(S34+1)))</f>
        <v/>
      </c>
      <c r="U34" s="308" t="str">
        <f>IF(T34="","",IF((T34+1)&gt;PERCENT!$E$7,"",(T34+1)))</f>
        <v/>
      </c>
      <c r="V34" s="308" t="str">
        <f>IF(U34="","",IF((U34+1)&gt;PERCENT!$E$7,"",(U34+1)))</f>
        <v/>
      </c>
      <c r="W34" s="308" t="str">
        <f>IF(V34="","",IF((V34+1)&gt;PERCENT!$E$7,"",(V34+1)))</f>
        <v/>
      </c>
      <c r="X34" s="308" t="str">
        <f>IF(W34="","",IF((W34+1)&gt;PERCENT!$E$7,"",(W34+1)))</f>
        <v/>
      </c>
      <c r="Y34" s="308" t="str">
        <f>IF(X34="","",IF((X34+1)&gt;PERCENT!$E$7,"",(X34+1)))</f>
        <v/>
      </c>
      <c r="Z34" s="308" t="str">
        <f>IF(Y34="","",IF((Y34+1)&gt;PERCENT!$E$7,"",(Y34+1)))</f>
        <v/>
      </c>
      <c r="AA34" s="308" t="str">
        <f>IF(Z34="","",IF((Z34+1)&gt;PERCENT!$E$7,"",(Z34+1)))</f>
        <v/>
      </c>
      <c r="AB34" s="308" t="str">
        <f>IF(AA34="","",IF((AA34+1)&gt;PERCENT!$E$7,"",(AA34+1)))</f>
        <v/>
      </c>
      <c r="AC34" s="308" t="str">
        <f>IF(AB34="","",IF((AB34+1)&gt;PERCENT!$E$7,"",(AB34+1)))</f>
        <v/>
      </c>
      <c r="AD34" s="308" t="str">
        <f>IF(AC34="","",IF((AC34+1)&gt;PERCENT!$E$7,"",(AC34+1)))</f>
        <v/>
      </c>
      <c r="AE34" s="308" t="str">
        <f>IF(AD34="","",IF((AD34+1)&gt;PERCENT!$E$7,"",(AD34+1)))</f>
        <v/>
      </c>
      <c r="AF34" s="308" t="str">
        <f>IF(AE34="","",IF((AE34+1)&gt;PERCENT!$E$7,"",(AE34+1)))</f>
        <v/>
      </c>
    </row>
    <row r="35" spans="1:156" ht="33.75" customHeight="1">
      <c r="C35" s="309">
        <f>IF(C34="","",SUM(RESULT!C$4:C$33))</f>
        <v>128917.8867839521</v>
      </c>
      <c r="D35" s="309">
        <f>IF(D34="","",SUM(RESULT!D$4:D$33))</f>
        <v>288776.06639605272</v>
      </c>
      <c r="E35" s="309">
        <f>IF(E34="","",SUM(RESULT!E$4:E$33))</f>
        <v>483906.17983224266</v>
      </c>
      <c r="F35" s="309">
        <f>IF(F34="","",SUM(RESULT!F$4:F$33))</f>
        <v>719246.29782789445</v>
      </c>
      <c r="G35" s="309">
        <f>IF(G34="","",SUM(RESULT!G$4:G$33))</f>
        <v>1000425.8210213326</v>
      </c>
      <c r="H35" s="309">
        <f>IF(H34="","",SUM(RESULT!H$4:H$33))</f>
        <v>1333862.2661402475</v>
      </c>
      <c r="I35" s="309">
        <f>IF(I34="","",SUM(RESULT!I$4:I$33))</f>
        <v>1726871.6022542054</v>
      </c>
      <c r="J35" s="309">
        <f>IF(J34="","",SUM(RESULT!J$4:J$33))</f>
        <v>2187794.0341025135</v>
      </c>
      <c r="K35" s="309">
        <f>IF(K34="","",SUM(RESULT!K$4:K$33))</f>
        <v>2726137.3950879788</v>
      </c>
      <c r="L35" s="309">
        <f>IF(L34="","",SUM(RESULT!L$4:L$33))</f>
        <v>3352740.6152898055</v>
      </c>
      <c r="M35" s="309">
        <f>IF(M34="","",SUM(RESULT!M$4:M$33))</f>
        <v>4079960.0749982833</v>
      </c>
      <c r="N35" s="309">
        <f>IF(N34="","",SUM(RESULT!N$4:N$33))</f>
        <v>4921882.0477443431</v>
      </c>
      <c r="O35" s="309">
        <f>IF(O34="","",SUM(RESULT!O$4:O$33))</f>
        <v>5894564.8853532458</v>
      </c>
      <c r="P35" s="309">
        <f>IF(P34="","",SUM(RESULT!P$4:P$33))</f>
        <v>7016315.1089057922</v>
      </c>
      <c r="Q35" s="309">
        <f>IF(Q34="","",SUM(RESULT!Q$4:Q$33))</f>
        <v>8308002.1524340883</v>
      </c>
      <c r="R35" s="309" t="str">
        <f>IF(R34="","",SUM(RESULT!R$4:R$33))</f>
        <v/>
      </c>
      <c r="S35" s="309" t="str">
        <f>IF(S34="","",SUM(RESULT!S$4:S$33))</f>
        <v/>
      </c>
      <c r="T35" s="309" t="str">
        <f>IF(T34="","",SUM(RESULT!T$4:T$33))</f>
        <v/>
      </c>
      <c r="U35" s="309" t="str">
        <f>IF(U34="","",SUM(RESULT!U$4:U$33))</f>
        <v/>
      </c>
      <c r="V35" s="309" t="str">
        <f>IF(V34="","",SUM(RESULT!V$4:V$33))</f>
        <v/>
      </c>
      <c r="W35" s="309" t="str">
        <f>IF(W34="","",SUM(RESULT!W$4:W$33))</f>
        <v/>
      </c>
      <c r="X35" s="309" t="str">
        <f>IF(X34="","",SUM(RESULT!X$4:X$33))</f>
        <v/>
      </c>
      <c r="Y35" s="309" t="str">
        <f>IF(Y34="","",SUM(RESULT!Y$4:Y$33))</f>
        <v/>
      </c>
      <c r="Z35" s="309" t="str">
        <f>IF(Z34="","",SUM(RESULT!Z$4:Z$33))</f>
        <v/>
      </c>
      <c r="AA35" s="309" t="str">
        <f>IF(AA34="","",SUM(RESULT!AA$4:AA$33))</f>
        <v/>
      </c>
      <c r="AB35" s="309" t="str">
        <f>IF(AB34="","",SUM(RESULT!AB$4:AB$33))</f>
        <v/>
      </c>
      <c r="AC35" s="309" t="str">
        <f>IF(AC34="","",SUM(RESULT!AC$4:AC$33))</f>
        <v/>
      </c>
      <c r="AD35" s="309" t="str">
        <f>IF(AD34="","",SUM(RESULT!AD$4:AD$33))</f>
        <v/>
      </c>
      <c r="AE35" s="309" t="str">
        <f>IF(AE34="","",SUM(RESULT!AE$4:AE$33))</f>
        <v/>
      </c>
      <c r="AF35" s="309" t="str">
        <f>IF(AF34="","",SUM(RESULT!AF$4:AF$33))</f>
        <v/>
      </c>
    </row>
    <row r="36" spans="1:156" ht="15" customHeight="1">
      <c r="C36" s="686">
        <f>HLOOKUP(PERCENT!E7,RESULT!C34:AF35,2,FALSE)</f>
        <v>8308002.1524340883</v>
      </c>
      <c r="D36" s="687"/>
      <c r="E36" s="688"/>
      <c r="F36" s="689" t="s">
        <v>276</v>
      </c>
      <c r="G36" s="690"/>
      <c r="H36" s="690"/>
      <c r="I36" s="690"/>
      <c r="J36" s="690"/>
      <c r="K36" s="690"/>
      <c r="L36" s="691">
        <f>SUMPRODUCT(A4:A33,EZ4:EZ33)</f>
        <v>3060000</v>
      </c>
      <c r="M36" s="691"/>
      <c r="N36" s="691"/>
      <c r="O36" s="692" t="s">
        <v>277</v>
      </c>
      <c r="P36" s="693"/>
      <c r="Q36" s="694"/>
    </row>
    <row r="37" spans="1:156" ht="15.75" customHeight="1">
      <c r="C37" s="686"/>
      <c r="D37" s="687"/>
      <c r="E37" s="688"/>
      <c r="F37" s="689"/>
      <c r="G37" s="690"/>
      <c r="H37" s="690"/>
      <c r="I37" s="690"/>
      <c r="J37" s="690"/>
      <c r="K37" s="690"/>
      <c r="L37" s="691"/>
      <c r="M37" s="691"/>
      <c r="N37" s="691"/>
      <c r="O37" s="695"/>
      <c r="P37" s="696"/>
      <c r="Q37" s="697"/>
    </row>
    <row r="38" spans="1:156" ht="14.45" customHeight="1">
      <c r="C38" s="698">
        <f>FV((1+PERCENT!E8)^(1/12)-1,PERCENT!E7*12,-PERCENT!E6,,1)</f>
        <v>5652071.3813195275</v>
      </c>
      <c r="D38" s="699"/>
      <c r="E38" s="700"/>
      <c r="F38" s="690" t="s">
        <v>278</v>
      </c>
      <c r="G38" s="690"/>
      <c r="H38" s="690"/>
      <c r="I38" s="690"/>
      <c r="J38" s="690"/>
      <c r="K38" s="690"/>
      <c r="L38" s="698">
        <f>PERCENT!E6*PERCENT!E7*12</f>
        <v>1800000</v>
      </c>
      <c r="M38" s="699"/>
      <c r="N38" s="700"/>
      <c r="O38" s="692" t="s">
        <v>279</v>
      </c>
      <c r="P38" s="693"/>
      <c r="Q38" s="694"/>
    </row>
    <row r="39" spans="1:156" ht="14.45" customHeight="1">
      <c r="C39" s="701"/>
      <c r="D39" s="702"/>
      <c r="E39" s="703"/>
      <c r="F39" s="690"/>
      <c r="G39" s="690"/>
      <c r="H39" s="690"/>
      <c r="I39" s="690"/>
      <c r="J39" s="690"/>
      <c r="K39" s="690"/>
      <c r="L39" s="701"/>
      <c r="M39" s="702"/>
      <c r="N39" s="703"/>
      <c r="O39" s="695"/>
      <c r="P39" s="696"/>
      <c r="Q39" s="697"/>
    </row>
  </sheetData>
  <sheetProtection formatColumns="0"/>
  <mergeCells count="8">
    <mergeCell ref="C36:E37"/>
    <mergeCell ref="F36:K37"/>
    <mergeCell ref="L36:N37"/>
    <mergeCell ref="O36:Q37"/>
    <mergeCell ref="C38:E39"/>
    <mergeCell ref="F38:K39"/>
    <mergeCell ref="L38:N39"/>
    <mergeCell ref="O38:Q39"/>
  </mergeCells>
  <conditionalFormatting sqref="S18:AF18 C19:AF33 T17:AF17">
    <cfRule type="notContainsBlanks" dxfId="29" priority="29">
      <formula>LEN(TRIM(C17))&gt;0</formula>
    </cfRule>
  </conditionalFormatting>
  <conditionalFormatting sqref="C35:AF35">
    <cfRule type="notContainsBlanks" dxfId="28" priority="28">
      <formula>LEN(TRIM(C35))&gt;0</formula>
    </cfRule>
  </conditionalFormatting>
  <conditionalFormatting sqref="R18">
    <cfRule type="notContainsBlanks" dxfId="27" priority="27">
      <formula>LEN(TRIM(R18))&gt;0</formula>
    </cfRule>
  </conditionalFormatting>
  <conditionalFormatting sqref="S17">
    <cfRule type="notContainsBlanks" dxfId="26" priority="26">
      <formula>LEN(TRIM(S17))&gt;0</formula>
    </cfRule>
  </conditionalFormatting>
  <conditionalFormatting sqref="T16">
    <cfRule type="notContainsBlanks" dxfId="25" priority="25">
      <formula>LEN(TRIM(T16))&gt;0</formula>
    </cfRule>
  </conditionalFormatting>
  <conditionalFormatting sqref="U16:AF16">
    <cfRule type="notContainsBlanks" dxfId="24" priority="24">
      <formula>LEN(TRIM(U16))&gt;0</formula>
    </cfRule>
  </conditionalFormatting>
  <conditionalFormatting sqref="U15">
    <cfRule type="notContainsBlanks" dxfId="23" priority="23">
      <formula>LEN(TRIM(U15))&gt;0</formula>
    </cfRule>
  </conditionalFormatting>
  <conditionalFormatting sqref="V15:AF15">
    <cfRule type="notContainsBlanks" dxfId="22" priority="22">
      <formula>LEN(TRIM(V15))&gt;0</formula>
    </cfRule>
  </conditionalFormatting>
  <conditionalFormatting sqref="V14">
    <cfRule type="notContainsBlanks" dxfId="21" priority="21">
      <formula>LEN(TRIM(V14))&gt;0</formula>
    </cfRule>
  </conditionalFormatting>
  <conditionalFormatting sqref="W14:AF14">
    <cfRule type="notContainsBlanks" dxfId="20" priority="20">
      <formula>LEN(TRIM(W14))&gt;0</formula>
    </cfRule>
  </conditionalFormatting>
  <conditionalFormatting sqref="W13">
    <cfRule type="notContainsBlanks" dxfId="19" priority="19">
      <formula>LEN(TRIM(W13))&gt;0</formula>
    </cfRule>
  </conditionalFormatting>
  <conditionalFormatting sqref="X13:AF13">
    <cfRule type="notContainsBlanks" dxfId="18" priority="18">
      <formula>LEN(TRIM(X13))&gt;0</formula>
    </cfRule>
  </conditionalFormatting>
  <conditionalFormatting sqref="X12">
    <cfRule type="notContainsBlanks" dxfId="17" priority="17">
      <formula>LEN(TRIM(X12))&gt;0</formula>
    </cfRule>
  </conditionalFormatting>
  <conditionalFormatting sqref="Y12:AF12">
    <cfRule type="notContainsBlanks" dxfId="16" priority="16">
      <formula>LEN(TRIM(Y12))&gt;0</formula>
    </cfRule>
  </conditionalFormatting>
  <conditionalFormatting sqref="Y11">
    <cfRule type="notContainsBlanks" dxfId="15" priority="15">
      <formula>LEN(TRIM(Y11))&gt;0</formula>
    </cfRule>
  </conditionalFormatting>
  <conditionalFormatting sqref="Z11:AF11">
    <cfRule type="notContainsBlanks" dxfId="14" priority="14">
      <formula>LEN(TRIM(Z11))&gt;0</formula>
    </cfRule>
  </conditionalFormatting>
  <conditionalFormatting sqref="Z10">
    <cfRule type="notContainsBlanks" dxfId="13" priority="13">
      <formula>LEN(TRIM(Z10))&gt;0</formula>
    </cfRule>
  </conditionalFormatting>
  <conditionalFormatting sqref="AA10:AF10">
    <cfRule type="notContainsBlanks" dxfId="12" priority="12">
      <formula>LEN(TRIM(AA10))&gt;0</formula>
    </cfRule>
  </conditionalFormatting>
  <conditionalFormatting sqref="AA9">
    <cfRule type="notContainsBlanks" dxfId="11" priority="11">
      <formula>LEN(TRIM(AA9))&gt;0</formula>
    </cfRule>
  </conditionalFormatting>
  <conditionalFormatting sqref="AB9:AF9">
    <cfRule type="notContainsBlanks" dxfId="10" priority="10">
      <formula>LEN(TRIM(AB9))&gt;0</formula>
    </cfRule>
  </conditionalFormatting>
  <conditionalFormatting sqref="AB8">
    <cfRule type="notContainsBlanks" dxfId="9" priority="9">
      <formula>LEN(TRIM(AB8))&gt;0</formula>
    </cfRule>
  </conditionalFormatting>
  <conditionalFormatting sqref="AC8:AF8">
    <cfRule type="notContainsBlanks" dxfId="8" priority="8">
      <formula>LEN(TRIM(AC8))&gt;0</formula>
    </cfRule>
  </conditionalFormatting>
  <conditionalFormatting sqref="AC7">
    <cfRule type="notContainsBlanks" dxfId="7" priority="7">
      <formula>LEN(TRIM(AC7))&gt;0</formula>
    </cfRule>
  </conditionalFormatting>
  <conditionalFormatting sqref="AD7:AF7">
    <cfRule type="notContainsBlanks" dxfId="6" priority="6">
      <formula>LEN(TRIM(AD7))&gt;0</formula>
    </cfRule>
  </conditionalFormatting>
  <conditionalFormatting sqref="AD6">
    <cfRule type="notContainsBlanks" dxfId="5" priority="5">
      <formula>LEN(TRIM(AD6))&gt;0</formula>
    </cfRule>
  </conditionalFormatting>
  <conditionalFormatting sqref="AE6:AF6">
    <cfRule type="notContainsBlanks" dxfId="4" priority="4">
      <formula>LEN(TRIM(AE6))&gt;0</formula>
    </cfRule>
  </conditionalFormatting>
  <conditionalFormatting sqref="AE5">
    <cfRule type="notContainsBlanks" dxfId="3" priority="3">
      <formula>LEN(TRIM(AE5))&gt;0</formula>
    </cfRule>
  </conditionalFormatting>
  <conditionalFormatting sqref="AF5">
    <cfRule type="notContainsBlanks" dxfId="2" priority="2">
      <formula>LEN(TRIM(AF5))&gt;0</formula>
    </cfRule>
  </conditionalFormatting>
  <conditionalFormatting sqref="AF4">
    <cfRule type="notContainsBlanks" dxfId="1" priority="1">
      <formula>LEN(TRIM(AF4))&gt;0</formula>
    </cfRule>
  </conditionalFormatting>
  <pageMargins left="0.7" right="0.7" top="0.75" bottom="0.75" header="0.3" footer="0.3"/>
  <pageSetup paperSize="9" orientation="portrait" r:id="rId1"/>
  <drawing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dimension ref="A1:T18"/>
  <sheetViews>
    <sheetView showGridLines="0" workbookViewId="0">
      <selection activeCell="L2" sqref="L2"/>
    </sheetView>
  </sheetViews>
  <sheetFormatPr defaultColWidth="8.7109375" defaultRowHeight="15"/>
  <cols>
    <col min="1" max="1" width="10.140625" style="258" bestFit="1" customWidth="1"/>
    <col min="2" max="2" width="12.28515625" style="258" customWidth="1"/>
    <col min="3" max="3" width="13.85546875" style="258" bestFit="1" customWidth="1"/>
    <col min="4" max="4" width="14.140625" style="258" customWidth="1"/>
    <col min="5" max="5" width="11.7109375" style="258" customWidth="1"/>
    <col min="6" max="6" width="8.7109375" style="258" customWidth="1"/>
    <col min="7" max="12" width="8.7109375" style="258"/>
    <col min="13" max="13" width="8.7109375" style="258" customWidth="1"/>
    <col min="14" max="14" width="4.5703125" style="332" bestFit="1" customWidth="1"/>
    <col min="15" max="15" width="9.85546875" style="258" bestFit="1" customWidth="1"/>
    <col min="16" max="16" width="10.140625" style="258" bestFit="1" customWidth="1"/>
    <col min="17" max="17" width="1.28515625" style="258" customWidth="1"/>
    <col min="18" max="18" width="4.5703125" style="332" customWidth="1"/>
    <col min="19" max="19" width="9.85546875" style="258" customWidth="1"/>
    <col min="20" max="20" width="10.140625" style="258" customWidth="1"/>
    <col min="21" max="16384" width="8.7109375" style="258"/>
  </cols>
  <sheetData>
    <row r="1" spans="1:20" s="261" customFormat="1" ht="20.100000000000001" customHeight="1">
      <c r="A1" s="705"/>
      <c r="N1" s="310"/>
      <c r="R1" s="310"/>
    </row>
    <row r="2" spans="1:20" s="261" customFormat="1" ht="20.100000000000001" customHeight="1">
      <c r="A2" s="705"/>
      <c r="B2" s="333" t="s">
        <v>7</v>
      </c>
      <c r="C2" s="311" t="s">
        <v>280</v>
      </c>
      <c r="D2" s="312" t="s">
        <v>280</v>
      </c>
      <c r="N2" s="310"/>
      <c r="O2" s="706" t="s">
        <v>281</v>
      </c>
      <c r="P2" s="706"/>
      <c r="R2" s="310"/>
      <c r="S2" s="706" t="s">
        <v>281</v>
      </c>
      <c r="T2" s="706"/>
    </row>
    <row r="3" spans="1:20" s="261" customFormat="1" ht="20.100000000000001" customHeight="1">
      <c r="A3" s="705"/>
      <c r="B3" s="334" t="s">
        <v>295</v>
      </c>
      <c r="C3" s="313" t="s">
        <v>282</v>
      </c>
      <c r="D3" s="314" t="s">
        <v>283</v>
      </c>
      <c r="E3" s="315"/>
      <c r="N3" s="316" t="s">
        <v>284</v>
      </c>
      <c r="O3" s="317" t="s">
        <v>285</v>
      </c>
      <c r="P3" s="318" t="s">
        <v>286</v>
      </c>
      <c r="R3" s="316" t="s">
        <v>284</v>
      </c>
      <c r="S3" s="317" t="s">
        <v>285</v>
      </c>
      <c r="T3" s="318" t="s">
        <v>286</v>
      </c>
    </row>
    <row r="4" spans="1:20" s="261" customFormat="1" ht="20.100000000000001" customHeight="1">
      <c r="A4" s="707" t="s">
        <v>287</v>
      </c>
      <c r="B4" s="319" t="s">
        <v>286</v>
      </c>
      <c r="C4" s="277">
        <f>RESULT!L36</f>
        <v>3060000</v>
      </c>
      <c r="D4" s="277">
        <f>RESULT!C36</f>
        <v>8308002.1524340883</v>
      </c>
      <c r="E4" s="320"/>
      <c r="N4" s="321">
        <v>1</v>
      </c>
      <c r="O4" s="277">
        <f>IF(N4="","",HomePage!HOME)</f>
        <v>10000</v>
      </c>
      <c r="P4" s="277">
        <f>INDEX(RESULT!$A$4:$B$33,MATCH(ANALYSIS!N4,RESULT!$B$4:$B$33,0),1)</f>
        <v>10000</v>
      </c>
      <c r="R4" s="276" t="str">
        <f>IF(N18="","",IF(N18+1&gt;HomePage!$D$5,"",N18+1))</f>
        <v/>
      </c>
      <c r="S4" s="277" t="str">
        <f>IF(R4="","",HomePage!HOME)</f>
        <v/>
      </c>
      <c r="T4" s="277" t="str">
        <f>INDEX(RESULT!$A$4:$B$33,MATCH(ANALYSIS!R4,RESULT!$B$4:$B$33,0),1)</f>
        <v/>
      </c>
    </row>
    <row r="5" spans="1:20" s="261" customFormat="1" ht="20.100000000000001" customHeight="1">
      <c r="A5" s="707"/>
      <c r="B5" s="319" t="s">
        <v>285</v>
      </c>
      <c r="C5" s="322">
        <f>RESULT!L38</f>
        <v>1800000</v>
      </c>
      <c r="D5" s="322">
        <f>RESULT!C38</f>
        <v>5652071.3813195275</v>
      </c>
      <c r="E5" s="320"/>
      <c r="N5" s="276">
        <f>IF(N4="","",IF(N4+1&gt;HomePage!$D$5,"",N4+1))</f>
        <v>2</v>
      </c>
      <c r="O5" s="277">
        <f>IF(N5="","",HomePage!HOME)</f>
        <v>10000</v>
      </c>
      <c r="P5" s="277">
        <f>INDEX(RESULT!$A$4:$B$33,MATCH(ANALYSIS!N5,RESULT!$B$4:$B$33,0),1)</f>
        <v>11000</v>
      </c>
      <c r="R5" s="276" t="str">
        <f>IF(R4="","",IF(R4+1&gt;HomePage!$D$5,"",R4+1))</f>
        <v/>
      </c>
      <c r="S5" s="277" t="str">
        <f>IF(R5="","",HomePage!HOME)</f>
        <v/>
      </c>
      <c r="T5" s="277" t="str">
        <f>INDEX(RESULT!$A$4:$B$33,MATCH(ANALYSIS!R5,RESULT!$B$4:$B$33,0),1)</f>
        <v/>
      </c>
    </row>
    <row r="6" spans="1:20" s="261" customFormat="1" ht="20.100000000000001" customHeight="1">
      <c r="A6" s="707"/>
      <c r="B6" s="323" t="s">
        <v>288</v>
      </c>
      <c r="C6" s="324">
        <f>C4-C5</f>
        <v>1260000</v>
      </c>
      <c r="D6" s="324">
        <f>D4-D5</f>
        <v>2655930.7711145608</v>
      </c>
      <c r="N6" s="276">
        <f>IF(N5="","",IF(N5+1&gt;HomePage!$D$5,"",N5+1))</f>
        <v>3</v>
      </c>
      <c r="O6" s="277">
        <f>IF(N6="","",HomePage!HOME)</f>
        <v>10000</v>
      </c>
      <c r="P6" s="277">
        <f>INDEX(RESULT!$A$4:$B$33,MATCH(ANALYSIS!N6,RESULT!$B$4:$B$33,0),1)</f>
        <v>12000</v>
      </c>
      <c r="R6" s="276" t="str">
        <f>IF(R5="","",IF(R5+1&gt;HomePage!$D$5,"",R5+1))</f>
        <v/>
      </c>
      <c r="S6" s="277" t="str">
        <f>IF(R6="","",HomePage!HOME)</f>
        <v/>
      </c>
      <c r="T6" s="277" t="str">
        <f>INDEX(RESULT!$A$4:$B$33,MATCH(ANALYSIS!R6,RESULT!$B$4:$B$33,0),1)</f>
        <v/>
      </c>
    </row>
    <row r="7" spans="1:20" s="261" customFormat="1" ht="20.100000000000001" customHeight="1" thickBot="1">
      <c r="N7" s="276">
        <f>IF(N6="","",IF(N6+1&gt;HomePage!$D$5,"",N6+1))</f>
        <v>4</v>
      </c>
      <c r="O7" s="277">
        <f>IF(N7="","",HomePage!HOME)</f>
        <v>10000</v>
      </c>
      <c r="P7" s="277">
        <f>INDEX(RESULT!$A$4:$B$33,MATCH(ANALYSIS!N7,RESULT!$B$4:$B$33,0),1)</f>
        <v>13000</v>
      </c>
      <c r="R7" s="276" t="str">
        <f>IF(R6="","",IF(R6+1&gt;HomePage!$D$5,"",R6+1))</f>
        <v/>
      </c>
      <c r="S7" s="277" t="str">
        <f>IF(R7="","",HomePage!HOME)</f>
        <v/>
      </c>
      <c r="T7" s="277" t="str">
        <f>INDEX(RESULT!$A$4:$B$33,MATCH(ANALYSIS!R7,RESULT!$B$4:$B$33,0),1)</f>
        <v/>
      </c>
    </row>
    <row r="8" spans="1:20" s="261" customFormat="1" ht="20.100000000000001" customHeight="1">
      <c r="A8" s="708" t="str">
        <f>"By investing Rs. "&amp;TEXT(C6,"##,#")&amp;" extra over a period of "&amp;H16&amp;" years, you accumulate extra wealth of amount Rs. "&amp;TEXT(D6,"##,#")</f>
        <v>By investing Rs. 12,60,000 extra over a period of 15 years, you accumulate extra wealth of amount Rs. 26,55,931</v>
      </c>
      <c r="B8" s="709"/>
      <c r="C8" s="709"/>
      <c r="D8" s="710"/>
      <c r="E8" s="325"/>
      <c r="N8" s="276">
        <f>IF(N7="","",IF(N7+1&gt;HomePage!$D$5,"",N7+1))</f>
        <v>5</v>
      </c>
      <c r="O8" s="277">
        <f>IF(N8="","",HomePage!HOME)</f>
        <v>10000</v>
      </c>
      <c r="P8" s="277">
        <f>INDEX(RESULT!$A$4:$B$33,MATCH(ANALYSIS!N8,RESULT!$B$4:$B$33,0),1)</f>
        <v>14000</v>
      </c>
      <c r="R8" s="276" t="str">
        <f>IF(R7="","",IF(R7+1&gt;HomePage!$D$5,"",R7+1))</f>
        <v/>
      </c>
      <c r="S8" s="277" t="str">
        <f>IF(R8="","",HomePage!HOME)</f>
        <v/>
      </c>
      <c r="T8" s="277" t="str">
        <f>INDEX(RESULT!$A$4:$B$33,MATCH(ANALYSIS!R8,RESULT!$B$4:$B$33,0),1)</f>
        <v/>
      </c>
    </row>
    <row r="9" spans="1:20" s="261" customFormat="1" ht="20.100000000000001" customHeight="1">
      <c r="A9" s="711"/>
      <c r="B9" s="712"/>
      <c r="C9" s="712"/>
      <c r="D9" s="713"/>
      <c r="E9" s="325"/>
      <c r="N9" s="276">
        <f>IF(N8="","",IF(N8+1&gt;HomePage!$D$5,"",N8+1))</f>
        <v>6</v>
      </c>
      <c r="O9" s="277">
        <f>IF(N9="","",HomePage!HOME)</f>
        <v>10000</v>
      </c>
      <c r="P9" s="277">
        <f>INDEX(RESULT!$A$4:$B$33,MATCH(ANALYSIS!N9,RESULT!$B$4:$B$33,0),1)</f>
        <v>15000</v>
      </c>
      <c r="R9" s="276" t="str">
        <f>IF(R8="","",IF(R8+1&gt;HomePage!$D$5,"",R8+1))</f>
        <v/>
      </c>
      <c r="S9" s="277" t="str">
        <f>IF(R9="","",HomePage!HOME)</f>
        <v/>
      </c>
      <c r="T9" s="277" t="str">
        <f>INDEX(RESULT!$A$4:$B$33,MATCH(ANALYSIS!R9,RESULT!$B$4:$B$33,0),1)</f>
        <v/>
      </c>
    </row>
    <row r="10" spans="1:20" s="261" customFormat="1" ht="20.100000000000001" customHeight="1" thickBot="1">
      <c r="A10" s="714"/>
      <c r="B10" s="715"/>
      <c r="C10" s="715"/>
      <c r="D10" s="716"/>
      <c r="E10" s="325"/>
      <c r="N10" s="276">
        <f>IF(N9="","",IF(N9+1&gt;HomePage!$D$5,"",N9+1))</f>
        <v>7</v>
      </c>
      <c r="O10" s="277">
        <f>IF(N10="","",HomePage!HOME)</f>
        <v>10000</v>
      </c>
      <c r="P10" s="277">
        <f>INDEX(RESULT!$A$4:$B$33,MATCH(ANALYSIS!N10,RESULT!$B$4:$B$33,0),1)</f>
        <v>16000</v>
      </c>
      <c r="R10" s="276" t="str">
        <f>IF(R9="","",IF(R9+1&gt;HomePage!$D$5,"",R9+1))</f>
        <v/>
      </c>
      <c r="S10" s="277" t="str">
        <f>IF(R10="","",HomePage!HOME)</f>
        <v/>
      </c>
      <c r="T10" s="277" t="str">
        <f>INDEX(RESULT!$A$4:$B$33,MATCH(ANALYSIS!R10,RESULT!$B$4:$B$33,0),1)</f>
        <v/>
      </c>
    </row>
    <row r="11" spans="1:20" s="261" customFormat="1" ht="20.100000000000001" customHeight="1">
      <c r="N11" s="276">
        <f>IF(N10="","",IF(N10+1&gt;HomePage!$D$5,"",N10+1))</f>
        <v>8</v>
      </c>
      <c r="O11" s="277">
        <f>IF(N11="","",HomePage!HOME)</f>
        <v>10000</v>
      </c>
      <c r="P11" s="277">
        <f>INDEX(RESULT!$A$4:$B$33,MATCH(ANALYSIS!N11,RESULT!$B$4:$B$33,0),1)</f>
        <v>17000</v>
      </c>
      <c r="R11" s="276" t="str">
        <f>IF(R10="","",IF(R10+1&gt;HomePage!$D$5,"",R10+1))</f>
        <v/>
      </c>
      <c r="S11" s="277" t="str">
        <f>IF(R11="","",HomePage!HOME)</f>
        <v/>
      </c>
      <c r="T11" s="277" t="str">
        <f>INDEX(RESULT!$A$4:$B$33,MATCH(ANALYSIS!R11,RESULT!$B$4:$B$33,0),1)</f>
        <v/>
      </c>
    </row>
    <row r="12" spans="1:20" s="261" customFormat="1" ht="20.100000000000001" customHeight="1">
      <c r="A12" s="704" t="s">
        <v>289</v>
      </c>
      <c r="B12" s="704"/>
      <c r="C12" s="704"/>
      <c r="D12" s="704"/>
      <c r="N12" s="276">
        <f>IF(N11="","",IF(N11+1&gt;HomePage!$D$5,"",N11+1))</f>
        <v>9</v>
      </c>
      <c r="O12" s="277">
        <f>IF(N12="","",HomePage!HOME)</f>
        <v>10000</v>
      </c>
      <c r="P12" s="277">
        <f>INDEX(RESULT!$A$4:$B$33,MATCH(ANALYSIS!N12,RESULT!$B$4:$B$33,0),1)</f>
        <v>18000</v>
      </c>
      <c r="R12" s="276" t="str">
        <f>IF(R11="","",IF(R11+1&gt;HomePage!$D$5,"",R11+1))</f>
        <v/>
      </c>
      <c r="S12" s="277" t="str">
        <f>IF(R12="","",HomePage!HOME)</f>
        <v/>
      </c>
      <c r="T12" s="277" t="str">
        <f>INDEX(RESULT!$A$4:$B$33,MATCH(ANALYSIS!R12,RESULT!$B$4:$B$33,0),1)</f>
        <v/>
      </c>
    </row>
    <row r="13" spans="1:20" s="261" customFormat="1" ht="20.100000000000001" customHeight="1">
      <c r="A13" s="704"/>
      <c r="B13" s="704"/>
      <c r="C13" s="704"/>
      <c r="D13" s="704"/>
      <c r="N13" s="276">
        <f>IF(N12="","",IF(N12+1&gt;HomePage!$D$5,"",N12+1))</f>
        <v>10</v>
      </c>
      <c r="O13" s="277">
        <f>IF(N13="","",HomePage!HOME)</f>
        <v>10000</v>
      </c>
      <c r="P13" s="277">
        <f>INDEX(RESULT!$A$4:$B$33,MATCH(ANALYSIS!N13,RESULT!$B$4:$B$33,0),1)</f>
        <v>19000</v>
      </c>
      <c r="R13" s="276" t="str">
        <f>IF(R12="","",IF(R12+1&gt;HomePage!$D$5,"",R12+1))</f>
        <v/>
      </c>
      <c r="S13" s="277" t="str">
        <f>IF(R13="","",HomePage!HOME)</f>
        <v/>
      </c>
      <c r="T13" s="277" t="str">
        <f>INDEX(RESULT!$A$4:$B$33,MATCH(ANALYSIS!R13,RESULT!$B$4:$B$33,0),1)</f>
        <v/>
      </c>
    </row>
    <row r="14" spans="1:20" s="261" customFormat="1" ht="20.100000000000001" customHeight="1">
      <c r="A14" s="704"/>
      <c r="B14" s="704"/>
      <c r="C14" s="704"/>
      <c r="D14" s="704"/>
      <c r="N14" s="276">
        <f>IF(N13="","",IF(N13+1&gt;HomePage!$D$5,"",N13+1))</f>
        <v>11</v>
      </c>
      <c r="O14" s="277">
        <f>IF(N14="","",HomePage!HOME)</f>
        <v>10000</v>
      </c>
      <c r="P14" s="277">
        <f>INDEX(RESULT!$A$4:$B$33,MATCH(ANALYSIS!N14,RESULT!$B$4:$B$33,0),1)</f>
        <v>20000</v>
      </c>
      <c r="R14" s="276" t="str">
        <f>IF(R13="","",IF(R13+1&gt;HomePage!$D$5,"",R13+1))</f>
        <v/>
      </c>
      <c r="S14" s="277" t="str">
        <f>IF(R14="","",HomePage!HOME)</f>
        <v/>
      </c>
      <c r="T14" s="277" t="str">
        <f>INDEX(RESULT!$A$4:$B$33,MATCH(ANALYSIS!R14,RESULT!$B$4:$B$33,0),1)</f>
        <v/>
      </c>
    </row>
    <row r="15" spans="1:20" s="261" customFormat="1" ht="20.100000000000001" customHeight="1">
      <c r="A15" s="704"/>
      <c r="B15" s="704"/>
      <c r="C15" s="704"/>
      <c r="D15" s="704"/>
      <c r="F15" s="326" t="s">
        <v>290</v>
      </c>
      <c r="G15" s="327"/>
      <c r="H15" s="328">
        <f>HOME</f>
        <v>10000</v>
      </c>
      <c r="J15" s="329" t="s">
        <v>291</v>
      </c>
      <c r="K15" s="327"/>
      <c r="L15" s="330">
        <f>HomePage!D6</f>
        <v>0.14000000000000001</v>
      </c>
      <c r="N15" s="276">
        <f>IF(N14="","",IF(N14+1&gt;HomePage!$D$5,"",N14+1))</f>
        <v>12</v>
      </c>
      <c r="O15" s="277">
        <f>IF(N15="","",HomePage!HOME)</f>
        <v>10000</v>
      </c>
      <c r="P15" s="277">
        <f>INDEX(RESULT!$A$4:$B$33,MATCH(ANALYSIS!N15,RESULT!$B$4:$B$33,0),1)</f>
        <v>21000</v>
      </c>
      <c r="R15" s="276" t="str">
        <f>IF(R14="","",IF(R14+1&gt;HomePage!$D$5,"",R14+1))</f>
        <v/>
      </c>
      <c r="S15" s="277" t="str">
        <f>IF(R15="","",HomePage!HOME)</f>
        <v/>
      </c>
      <c r="T15" s="277" t="str">
        <f>INDEX(RESULT!$A$4:$B$33,MATCH(ANALYSIS!R15,RESULT!$B$4:$B$33,0),1)</f>
        <v/>
      </c>
    </row>
    <row r="16" spans="1:20" s="261" customFormat="1" ht="20.100000000000001" customHeight="1">
      <c r="A16" s="704"/>
      <c r="B16" s="704"/>
      <c r="C16" s="704"/>
      <c r="D16" s="704"/>
      <c r="F16" s="326" t="s">
        <v>292</v>
      </c>
      <c r="G16" s="327"/>
      <c r="H16" s="277">
        <f>HomePage!D5</f>
        <v>15</v>
      </c>
      <c r="J16" s="331" t="str">
        <f>IF(HomePage!D8="Percentage","Step-Up %","")</f>
        <v/>
      </c>
      <c r="K16" s="327"/>
      <c r="L16" s="330" t="str">
        <f>IF(HomePage!D8="Percentage",HomePage!D9,"")</f>
        <v/>
      </c>
      <c r="N16" s="276">
        <f>IF(N15="","",IF(N15+1&gt;HomePage!$D$5,"",N15+1))</f>
        <v>13</v>
      </c>
      <c r="O16" s="277">
        <f>IF(N16="","",HomePage!HOME)</f>
        <v>10000</v>
      </c>
      <c r="P16" s="277">
        <f>INDEX(RESULT!$A$4:$B$33,MATCH(ANALYSIS!N16,RESULT!$B$4:$B$33,0),1)</f>
        <v>22000</v>
      </c>
      <c r="R16" s="276" t="str">
        <f>IF(R15="","",IF(R15+1&gt;HomePage!$D$5,"",R15+1))</f>
        <v/>
      </c>
      <c r="S16" s="277" t="str">
        <f>IF(R16="","",HomePage!HOME)</f>
        <v/>
      </c>
      <c r="T16" s="277" t="str">
        <f>INDEX(RESULT!$A$4:$B$33,MATCH(ANALYSIS!R16,RESULT!$B$4:$B$33,0),1)</f>
        <v/>
      </c>
    </row>
    <row r="17" spans="1:20" s="261" customFormat="1" ht="20.100000000000001" customHeight="1">
      <c r="A17" s="704"/>
      <c r="B17" s="704"/>
      <c r="C17" s="704"/>
      <c r="D17" s="704"/>
      <c r="F17" s="326" t="s">
        <v>293</v>
      </c>
      <c r="G17" s="327"/>
      <c r="H17" s="328">
        <f>HomePage!D11</f>
        <v>30000</v>
      </c>
      <c r="J17" s="331" t="str">
        <f>IF(HomePage!D8="Amount","Step-Up Amount","")</f>
        <v>Step-Up Amount</v>
      </c>
      <c r="K17" s="327"/>
      <c r="L17" s="277">
        <f>IF(HomePage!D8="Amount",HomePage!D10,"")</f>
        <v>1000</v>
      </c>
      <c r="N17" s="276">
        <f>IF(N16="","",IF(N16+1&gt;HomePage!$D$5,"",N16+1))</f>
        <v>14</v>
      </c>
      <c r="O17" s="277">
        <f>IF(N17="","",HomePage!HOME)</f>
        <v>10000</v>
      </c>
      <c r="P17" s="277">
        <f>INDEX(RESULT!$A$4:$B$33,MATCH(ANALYSIS!N17,RESULT!$B$4:$B$33,0),1)</f>
        <v>23000</v>
      </c>
      <c r="R17" s="276" t="str">
        <f>IF(R16="","",IF(R16+1&gt;HomePage!$D$5,"",R16+1))</f>
        <v/>
      </c>
      <c r="S17" s="277" t="str">
        <f>IF(R17="","",HomePage!HOME)</f>
        <v/>
      </c>
      <c r="T17" s="277" t="str">
        <f>INDEX(RESULT!$A$4:$B$33,MATCH(ANALYSIS!R17,RESULT!$B$4:$B$33,0),1)</f>
        <v/>
      </c>
    </row>
    <row r="18" spans="1:20" s="261" customFormat="1" ht="20.100000000000001" customHeight="1">
      <c r="A18" s="258"/>
      <c r="B18" s="258"/>
      <c r="C18" s="258"/>
      <c r="N18" s="276">
        <f>IF(N17="","",IF(N17+1&gt;HomePage!$D$5,"",N17+1))</f>
        <v>15</v>
      </c>
      <c r="O18" s="277">
        <f>IF(N18="","",HomePage!HOME)</f>
        <v>10000</v>
      </c>
      <c r="P18" s="277">
        <f>INDEX(RESULT!$A$4:$B$33,MATCH(ANALYSIS!N18,RESULT!$B$4:$B$33,0),1)</f>
        <v>24000</v>
      </c>
      <c r="R18" s="276" t="str">
        <f>IF(R17="","",IF(R17+1&gt;HomePage!$D$5,"",R17+1))</f>
        <v/>
      </c>
      <c r="S18" s="277" t="str">
        <f>IF(R18="","",HomePage!HOME)</f>
        <v/>
      </c>
      <c r="T18" s="277" t="str">
        <f>INDEX(RESULT!$A$4:$B$33,MATCH(ANALYSIS!R18,RESULT!$B$4:$B$33,0),1)</f>
        <v/>
      </c>
    </row>
  </sheetData>
  <mergeCells count="6">
    <mergeCell ref="A12:D17"/>
    <mergeCell ref="A1:A3"/>
    <mergeCell ref="O2:P2"/>
    <mergeCell ref="S2:T2"/>
    <mergeCell ref="A4:A6"/>
    <mergeCell ref="A8:D10"/>
  </mergeCells>
  <pageMargins left="0.7" right="0.7" top="0.75" bottom="0.75" header="0.3" footer="0.3"/>
  <pageSetup paperSize="9" orientation="landscape" verticalDpi="0" r:id="rId1"/>
  <colBreaks count="1" manualBreakCount="1">
    <brk id="13" max="1048575" man="1"/>
  </colBreaks>
  <drawing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dimension ref="A1:L12"/>
  <sheetViews>
    <sheetView showGridLines="0" workbookViewId="0"/>
  </sheetViews>
  <sheetFormatPr defaultColWidth="8.85546875" defaultRowHeight="15"/>
  <cols>
    <col min="1" max="1" width="23.42578125" style="377" customWidth="1"/>
    <col min="2" max="2" width="8" style="377" customWidth="1"/>
    <col min="3" max="3" width="3.7109375" style="377" customWidth="1"/>
    <col min="4" max="4" width="32.85546875" style="377" bestFit="1" customWidth="1"/>
    <col min="5" max="5" width="17.85546875" style="377" customWidth="1"/>
    <col min="6" max="6" width="3.7109375" style="377" customWidth="1"/>
    <col min="7" max="7" width="29.140625" style="377" customWidth="1"/>
    <col min="8" max="8" width="17.85546875" style="377" customWidth="1"/>
    <col min="9" max="9" width="0" style="377" hidden="1" customWidth="1"/>
    <col min="10" max="12" width="12.140625" style="377" hidden="1" customWidth="1"/>
    <col min="13" max="16384" width="8.85546875" style="377"/>
  </cols>
  <sheetData>
    <row r="1" spans="1:12" ht="26.65" customHeight="1" thickTop="1" thickBot="1">
      <c r="A1" s="498" t="s">
        <v>320</v>
      </c>
      <c r="B1" s="499"/>
      <c r="D1" s="498" t="s">
        <v>321</v>
      </c>
      <c r="E1" s="499"/>
      <c r="G1" s="498" t="s">
        <v>322</v>
      </c>
      <c r="H1" s="499"/>
    </row>
    <row r="2" spans="1:12" s="379" customFormat="1" ht="27.95" customHeight="1" thickTop="1" thickBot="1">
      <c r="A2" s="378" t="s">
        <v>323</v>
      </c>
      <c r="B2" s="500">
        <v>0.15</v>
      </c>
      <c r="D2" s="380" t="s">
        <v>324</v>
      </c>
      <c r="E2" s="502">
        <v>100000</v>
      </c>
      <c r="G2" s="381" t="s">
        <v>325</v>
      </c>
      <c r="H2" s="503">
        <v>0</v>
      </c>
      <c r="J2" s="379">
        <v>1</v>
      </c>
      <c r="K2" s="379">
        <f>B3</f>
        <v>5</v>
      </c>
      <c r="L2" s="382">
        <f>B3</f>
        <v>5</v>
      </c>
    </row>
    <row r="3" spans="1:12" s="379" customFormat="1" ht="27.95" customHeight="1" thickBot="1">
      <c r="A3" s="381" t="s">
        <v>326</v>
      </c>
      <c r="B3" s="501">
        <v>5</v>
      </c>
      <c r="D3" s="383" t="s">
        <v>5</v>
      </c>
      <c r="E3" s="403">
        <f>FV(B2,B3,,-E2)</f>
        <v>201135.71874999994</v>
      </c>
      <c r="G3" s="383" t="s">
        <v>327</v>
      </c>
      <c r="H3" s="503">
        <v>10000</v>
      </c>
      <c r="K3" s="384" t="s">
        <v>328</v>
      </c>
      <c r="L3" s="384" t="s">
        <v>329</v>
      </c>
    </row>
    <row r="4" spans="1:12" s="379" customFormat="1" ht="27.95" customHeight="1" thickBot="1">
      <c r="A4" s="385" t="s">
        <v>330</v>
      </c>
      <c r="B4" s="501" t="s">
        <v>329</v>
      </c>
      <c r="D4" s="383" t="s">
        <v>331</v>
      </c>
      <c r="E4" s="386">
        <f>E3-E2</f>
        <v>101135.71874999994</v>
      </c>
      <c r="G4" s="383" t="s">
        <v>5</v>
      </c>
      <c r="H4" s="403">
        <f>FV(NOMINAL(B2,12)/12,B3*12,-H3,-H2,1)</f>
        <v>873420.75059349032</v>
      </c>
      <c r="I4" s="377"/>
      <c r="J4" s="387">
        <f>FV(NOMINAL($B$2,12)/12,J2*12,-$H$3,-$H$2,1)</f>
        <v>129541.88115563593</v>
      </c>
      <c r="K4" s="388">
        <f t="shared" ref="K4:L4" si="0">FV(NOMINAL($B$2,12)/12,K2*12,-$H$3,-$H$2,1)</f>
        <v>873420.75059349032</v>
      </c>
      <c r="L4" s="388">
        <f t="shared" si="0"/>
        <v>873420.75059349032</v>
      </c>
    </row>
    <row r="5" spans="1:12" s="379" customFormat="1" ht="20.100000000000001" customHeight="1" thickBot="1">
      <c r="D5" s="383" t="s">
        <v>332</v>
      </c>
      <c r="E5" s="386">
        <f>IF((E4-100000)&lt;0,0,E4-100000)</f>
        <v>1135.7187499999418</v>
      </c>
      <c r="G5" s="383" t="s">
        <v>333</v>
      </c>
      <c r="H5" s="389">
        <f>IF(OR(B3=1,B4="NO"),FV(NOMINAL(B2,12)/12,11,-H3,,1)-(L5*H3),0)</f>
        <v>8041.881155635856</v>
      </c>
      <c r="I5" s="377"/>
      <c r="J5" s="390">
        <v>11</v>
      </c>
      <c r="K5" s="391">
        <v>0</v>
      </c>
      <c r="L5" s="392">
        <f>(L2*12)-L6</f>
        <v>11</v>
      </c>
    </row>
    <row r="6" spans="1:12" s="379" customFormat="1" ht="20.100000000000001" customHeight="1" thickBot="1">
      <c r="A6" s="717" t="s">
        <v>334</v>
      </c>
      <c r="B6" s="717"/>
      <c r="D6" s="383" t="s">
        <v>335</v>
      </c>
      <c r="E6" s="393">
        <f>10%*(1+4%)</f>
        <v>0.10400000000000001</v>
      </c>
      <c r="G6" s="383" t="s">
        <v>331</v>
      </c>
      <c r="H6" s="386">
        <f>IF(B3=1,FV(NOMINAL(B2,12)/12,1,-H3,-H2,1)-H2-H3, IF(B4 = "YES", FV(NOMINAL(B2,12)/12,K6,-H3,-H2,1)-K6*H3, FV(NOMINAL(B2,12)/12,L6,-H3,-H2,1)-H2-L6*H3))</f>
        <v>174546.14794463536</v>
      </c>
      <c r="I6" s="377"/>
      <c r="J6" s="390">
        <v>1</v>
      </c>
      <c r="K6" s="391">
        <f>(K2-1)*12</f>
        <v>48</v>
      </c>
      <c r="L6" s="391">
        <f>((L2-1)*12)+1</f>
        <v>49</v>
      </c>
    </row>
    <row r="7" spans="1:12" s="379" customFormat="1" ht="20.100000000000001" customHeight="1" thickBot="1">
      <c r="A7" s="717"/>
      <c r="B7" s="717"/>
      <c r="D7" s="383" t="s">
        <v>336</v>
      </c>
      <c r="E7" s="386">
        <f>E5*E6</f>
        <v>118.11474999999396</v>
      </c>
      <c r="G7" s="383" t="s">
        <v>332</v>
      </c>
      <c r="H7" s="386">
        <f>IF((H6-100000)&lt;0,0,H6-100000)</f>
        <v>74546.147944635362</v>
      </c>
      <c r="J7" s="394">
        <f>FV(NOMINAL($B$2,12)/12,J6,-$H$3,-$H$2,1)</f>
        <v>10117.149169198534</v>
      </c>
      <c r="K7" s="394">
        <f t="shared" ref="K7" si="1">FV(NOMINAL($B$2,12)/12,K6,-$H$3,-$H$2,1)</f>
        <v>646851.19081552466</v>
      </c>
      <c r="L7" s="394">
        <f>FV(NOMINAL($B$2,12)/12,L6,-$H$3,-$H$2,1)</f>
        <v>664546.14794463536</v>
      </c>
    </row>
    <row r="8" spans="1:12" s="379" customFormat="1" ht="20.100000000000001" customHeight="1" thickBot="1">
      <c r="A8" s="718" t="s">
        <v>340</v>
      </c>
      <c r="B8" s="719"/>
      <c r="D8" s="383" t="s">
        <v>337</v>
      </c>
      <c r="E8" s="403">
        <f>E3-E7</f>
        <v>201017.60399999993</v>
      </c>
      <c r="G8" s="383" t="s">
        <v>336</v>
      </c>
      <c r="H8" s="386">
        <f>H7*E6</f>
        <v>7752.7993862420781</v>
      </c>
      <c r="J8" s="392">
        <f>$H$3*J6</f>
        <v>10000</v>
      </c>
      <c r="K8" s="392">
        <f t="shared" ref="K8" si="2">$H$3*K6</f>
        <v>480000</v>
      </c>
      <c r="L8" s="392">
        <f>$H$3*L6</f>
        <v>490000</v>
      </c>
    </row>
    <row r="9" spans="1:12" s="379" customFormat="1" ht="20.100000000000001" customHeight="1" thickBot="1">
      <c r="A9" s="720"/>
      <c r="B9" s="721"/>
      <c r="D9" s="395" t="s">
        <v>338</v>
      </c>
      <c r="E9" s="396">
        <f>RATE(B3,,-E2,E8,,)</f>
        <v>0.14986490327931368</v>
      </c>
      <c r="G9" s="383" t="s">
        <v>339</v>
      </c>
      <c r="H9" s="386">
        <f>H5*15%*(1+4%)</f>
        <v>1254.5334602791936</v>
      </c>
      <c r="J9" s="394">
        <f>J7-J8</f>
        <v>117.14916919853385</v>
      </c>
      <c r="K9" s="397">
        <f t="shared" ref="K9:L9" si="3">K7-K8</f>
        <v>166851.19081552466</v>
      </c>
      <c r="L9" s="397">
        <f t="shared" si="3"/>
        <v>174546.14794463536</v>
      </c>
    </row>
    <row r="10" spans="1:12" s="379" customFormat="1" ht="20.100000000000001" customHeight="1" thickBot="1">
      <c r="A10" s="722" t="s">
        <v>318</v>
      </c>
      <c r="B10" s="723"/>
      <c r="C10" s="723"/>
      <c r="D10" s="724"/>
      <c r="E10" s="377"/>
      <c r="G10" s="383" t="s">
        <v>337</v>
      </c>
      <c r="H10" s="403">
        <f>H4-(H8+H9)</f>
        <v>864413.41774696903</v>
      </c>
      <c r="L10" s="394">
        <f>FV(NOMINAL(B2,12)/12,L5,-H3,,1)</f>
        <v>118041.88115563586</v>
      </c>
    </row>
    <row r="11" spans="1:12" s="379" customFormat="1" ht="20.100000000000001" customHeight="1" thickBot="1">
      <c r="A11" s="725"/>
      <c r="B11" s="726"/>
      <c r="C11" s="726"/>
      <c r="D11" s="727"/>
      <c r="E11" s="377"/>
      <c r="G11" s="398" t="s">
        <v>338</v>
      </c>
      <c r="H11" s="399">
        <f>((1+I11)^12)-1</f>
        <v>0.1457903487177743</v>
      </c>
      <c r="I11" s="400">
        <f>RATE(B3*12,-H3,-H2,H10,1,)</f>
        <v>1.1405777117257343E-2</v>
      </c>
      <c r="L11" s="401">
        <f>L5*H3</f>
        <v>110000</v>
      </c>
    </row>
    <row r="12" spans="1:12">
      <c r="L12" s="402">
        <f>L10-L11</f>
        <v>8041.881155635856</v>
      </c>
    </row>
  </sheetData>
  <sheetProtection formatColumns="0"/>
  <mergeCells count="3">
    <mergeCell ref="A6:B7"/>
    <mergeCell ref="A8:B9"/>
    <mergeCell ref="A10:D11"/>
  </mergeCells>
  <conditionalFormatting sqref="A6">
    <cfRule type="expression" dxfId="0" priority="1">
      <formula>AND($B$4="YES",$B$3=1)</formula>
    </cfRule>
  </conditionalFormatting>
  <dataValidations count="2">
    <dataValidation type="whole" operator="greaterThanOrEqual" allowBlank="1" showInputMessage="1" showErrorMessage="1" errorTitle="Error!!!" error="Value entered must be whole number and &gt;=1" prompt="Enter any whole number which is &gt;=1" sqref="B3" xr:uid="{00000000-0002-0000-1700-000000000000}">
      <formula1>1</formula1>
    </dataValidation>
    <dataValidation type="list" allowBlank="1" showInputMessage="1" showErrorMessage="1" sqref="B4" xr:uid="{00000000-0002-0000-1700-000001000000}">
      <formula1>"YES,NO"</formula1>
    </dataValidation>
  </dataValidations>
  <pageMargins left="0.7" right="0.7" top="0.75" bottom="0.75" header="0.3" footer="0.3"/>
  <pageSetup paperSize="9" orientation="portrait" verticalDpi="0" r:id="rId1"/>
  <drawing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Sheet4"/>
  <dimension ref="A1:M15"/>
  <sheetViews>
    <sheetView topLeftCell="A3" workbookViewId="0">
      <selection activeCell="A6" sqref="A6:M9"/>
    </sheetView>
  </sheetViews>
  <sheetFormatPr defaultColWidth="0" defaultRowHeight="12.75" zeroHeight="1"/>
  <cols>
    <col min="1" max="1" width="16.140625" customWidth="1"/>
    <col min="2" max="13" width="9.140625" customWidth="1"/>
  </cols>
  <sheetData>
    <row r="1" spans="1:13" ht="12.75" hidden="1" customHeight="1">
      <c r="A1" s="11"/>
      <c r="B1" s="1"/>
      <c r="C1" s="1"/>
      <c r="D1" s="1"/>
      <c r="E1" s="1"/>
      <c r="F1" s="1"/>
      <c r="G1" s="1"/>
      <c r="H1" s="1"/>
      <c r="I1" s="1"/>
      <c r="J1" s="1"/>
      <c r="K1" s="1"/>
      <c r="L1" s="1"/>
      <c r="M1" s="1"/>
    </row>
    <row r="2" spans="1:13" hidden="1">
      <c r="A2" s="2"/>
      <c r="B2" s="2"/>
      <c r="C2" s="2"/>
      <c r="D2" s="2"/>
      <c r="E2" s="2"/>
      <c r="F2" s="2"/>
      <c r="G2" s="2"/>
      <c r="H2" s="2"/>
      <c r="I2" s="2"/>
      <c r="J2" s="1"/>
      <c r="K2" s="1"/>
      <c r="L2" s="1"/>
      <c r="M2" s="1"/>
    </row>
    <row r="3" spans="1:13" ht="15.75">
      <c r="A3" s="731" t="s">
        <v>2</v>
      </c>
      <c r="B3" s="731"/>
      <c r="C3" s="731"/>
      <c r="D3" s="731"/>
      <c r="E3" s="731"/>
      <c r="F3" s="731"/>
      <c r="G3" s="731"/>
      <c r="H3" s="731"/>
      <c r="I3" s="731"/>
      <c r="J3" s="731"/>
      <c r="K3" s="731"/>
      <c r="L3" s="731"/>
      <c r="M3" s="731"/>
    </row>
    <row r="4" spans="1:13">
      <c r="A4" s="732" t="s">
        <v>3</v>
      </c>
      <c r="B4" s="732"/>
      <c r="C4" s="732"/>
      <c r="D4" s="732"/>
      <c r="E4" s="732"/>
      <c r="F4" s="732"/>
      <c r="G4" s="732"/>
      <c r="H4" s="732"/>
      <c r="I4" s="732"/>
      <c r="J4" s="732"/>
      <c r="K4" s="732"/>
      <c r="L4" s="732"/>
      <c r="M4" s="732"/>
    </row>
    <row r="5" spans="1:13" ht="15">
      <c r="A5" s="3"/>
      <c r="B5" s="3"/>
      <c r="C5" s="3"/>
      <c r="D5" s="3"/>
      <c r="E5" s="3"/>
      <c r="F5" s="3"/>
      <c r="G5" s="3"/>
      <c r="H5" s="3"/>
      <c r="I5" s="3"/>
      <c r="J5" s="3"/>
      <c r="K5" s="3"/>
      <c r="L5" s="3"/>
      <c r="M5" s="3"/>
    </row>
    <row r="6" spans="1:13">
      <c r="A6" s="728" t="s">
        <v>376</v>
      </c>
      <c r="B6" s="728"/>
      <c r="C6" s="728"/>
      <c r="D6" s="728"/>
      <c r="E6" s="728"/>
      <c r="F6" s="728"/>
      <c r="G6" s="728"/>
      <c r="H6" s="728"/>
      <c r="I6" s="728"/>
      <c r="J6" s="728"/>
      <c r="K6" s="728"/>
      <c r="L6" s="728"/>
      <c r="M6" s="728"/>
    </row>
    <row r="7" spans="1:13">
      <c r="A7" s="728"/>
      <c r="B7" s="728"/>
      <c r="C7" s="728"/>
      <c r="D7" s="728"/>
      <c r="E7" s="728"/>
      <c r="F7" s="728"/>
      <c r="G7" s="728"/>
      <c r="H7" s="728"/>
      <c r="I7" s="728"/>
      <c r="J7" s="728"/>
      <c r="K7" s="728"/>
      <c r="L7" s="728"/>
      <c r="M7" s="728"/>
    </row>
    <row r="8" spans="1:13">
      <c r="A8" s="728"/>
      <c r="B8" s="728"/>
      <c r="C8" s="728"/>
      <c r="D8" s="728"/>
      <c r="E8" s="728"/>
      <c r="F8" s="728"/>
      <c r="G8" s="728"/>
      <c r="H8" s="728"/>
      <c r="I8" s="728"/>
      <c r="J8" s="728"/>
      <c r="K8" s="728"/>
      <c r="L8" s="728"/>
      <c r="M8" s="728"/>
    </row>
    <row r="9" spans="1:13">
      <c r="A9" s="728"/>
      <c r="B9" s="728"/>
      <c r="C9" s="728"/>
      <c r="D9" s="728"/>
      <c r="E9" s="728"/>
      <c r="F9" s="728"/>
      <c r="G9" s="728"/>
      <c r="H9" s="728"/>
      <c r="I9" s="728"/>
      <c r="J9" s="728"/>
      <c r="K9" s="728"/>
      <c r="L9" s="728"/>
      <c r="M9" s="728"/>
    </row>
    <row r="10" spans="1:13">
      <c r="A10" s="4"/>
      <c r="B10" s="5"/>
      <c r="C10" s="6"/>
      <c r="D10" s="6"/>
      <c r="E10" s="6"/>
      <c r="F10" s="6"/>
      <c r="G10" s="4"/>
      <c r="H10" s="4"/>
      <c r="I10" s="4"/>
      <c r="J10" s="4"/>
      <c r="K10" s="4"/>
      <c r="L10" s="7"/>
      <c r="M10" s="7"/>
    </row>
    <row r="11" spans="1:13">
      <c r="A11" s="729" t="s">
        <v>375</v>
      </c>
      <c r="B11" s="729"/>
      <c r="C11" s="729"/>
      <c r="D11" s="729"/>
      <c r="E11" s="729"/>
      <c r="F11" s="729"/>
      <c r="G11" s="729"/>
      <c r="H11" s="729"/>
      <c r="I11" s="729"/>
      <c r="J11" s="729"/>
      <c r="K11" s="729"/>
      <c r="L11" s="729"/>
      <c r="M11" s="8"/>
    </row>
    <row r="12" spans="1:13">
      <c r="A12" s="730"/>
      <c r="B12" s="730"/>
      <c r="C12" s="730"/>
      <c r="D12" s="730"/>
      <c r="E12" s="730"/>
      <c r="F12" s="730"/>
      <c r="G12" s="730"/>
      <c r="H12" s="730"/>
      <c r="I12" s="730"/>
      <c r="J12" s="730"/>
      <c r="K12" s="730"/>
      <c r="L12" s="730"/>
      <c r="M12" s="730"/>
    </row>
    <row r="13" spans="1:13">
      <c r="A13" s="730"/>
      <c r="B13" s="730"/>
      <c r="C13" s="730"/>
      <c r="D13" s="730"/>
      <c r="E13" s="730"/>
      <c r="F13" s="730"/>
      <c r="G13" s="730"/>
      <c r="H13" s="730"/>
      <c r="I13" s="730"/>
      <c r="J13" s="730"/>
      <c r="K13" s="730"/>
      <c r="L13" s="730"/>
      <c r="M13" s="730"/>
    </row>
    <row r="14" spans="1:13">
      <c r="A14" s="730"/>
      <c r="B14" s="730"/>
      <c r="C14" s="730"/>
      <c r="D14" s="730"/>
      <c r="E14" s="730"/>
      <c r="F14" s="730"/>
      <c r="G14" s="730"/>
      <c r="H14" s="730"/>
      <c r="I14" s="730"/>
      <c r="J14" s="730"/>
      <c r="K14" s="730"/>
      <c r="L14" s="730"/>
      <c r="M14" s="730"/>
    </row>
    <row r="15" spans="1:13">
      <c r="A15" s="8"/>
      <c r="B15" s="9"/>
      <c r="C15" s="9"/>
      <c r="D15" s="10"/>
      <c r="E15" s="9"/>
      <c r="F15" s="9"/>
      <c r="G15" s="9"/>
      <c r="H15" s="9"/>
      <c r="I15" s="9"/>
      <c r="J15" s="9"/>
      <c r="K15" s="9"/>
      <c r="L15" s="9"/>
      <c r="M15" s="8"/>
    </row>
  </sheetData>
  <sheetProtection selectLockedCells="1"/>
  <customSheetViews>
    <customSheetView guid="{79659748-D45A-4BB2-979D-51E4C34D3332}">
      <selection sqref="A1:A3"/>
      <pageMargins left="0.7" right="0.7" top="0.75" bottom="0.75" header="0.3" footer="0.3"/>
    </customSheetView>
  </customSheetViews>
  <mergeCells count="5">
    <mergeCell ref="A6:M9"/>
    <mergeCell ref="A11:L11"/>
    <mergeCell ref="A12:M14"/>
    <mergeCell ref="A3:M3"/>
    <mergeCell ref="A4:M4"/>
  </mergeCell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7"/>
  <dimension ref="A1:R22"/>
  <sheetViews>
    <sheetView showGridLines="0" workbookViewId="0">
      <selection activeCell="F2" sqref="F2"/>
    </sheetView>
  </sheetViews>
  <sheetFormatPr defaultColWidth="0" defaultRowHeight="15.95" customHeight="1" zeroHeight="1"/>
  <cols>
    <col min="1" max="1" width="4.140625" style="50" customWidth="1"/>
    <col min="2" max="6" width="14.7109375" style="50" customWidth="1"/>
    <col min="7" max="7" width="4.140625" style="50" customWidth="1"/>
    <col min="8" max="9" width="9.140625" style="50" customWidth="1"/>
    <col min="10" max="11" width="9.5703125" style="50" bestFit="1" customWidth="1"/>
    <col min="12" max="12" width="9.140625" style="50" customWidth="1"/>
    <col min="13" max="13" width="14.7109375" style="50" customWidth="1"/>
    <col min="14" max="17" width="9.140625" style="50" customWidth="1"/>
    <col min="18" max="18" width="2.140625" style="50" customWidth="1"/>
    <col min="19" max="16384" width="9.140625" style="50" hidden="1"/>
  </cols>
  <sheetData>
    <row r="1" spans="1:17" ht="27" customHeight="1">
      <c r="A1" s="187"/>
      <c r="B1" s="458" t="s">
        <v>153</v>
      </c>
      <c r="C1" s="458"/>
      <c r="D1" s="458"/>
      <c r="E1" s="458"/>
      <c r="F1" s="458"/>
      <c r="G1" s="188"/>
    </row>
    <row r="2" spans="1:17" ht="15.95" customHeight="1">
      <c r="A2" s="57"/>
      <c r="B2" s="154" t="s">
        <v>138</v>
      </c>
      <c r="C2" s="155"/>
      <c r="D2" s="155"/>
      <c r="E2" s="156"/>
      <c r="F2" s="459">
        <v>10000</v>
      </c>
      <c r="G2" s="58"/>
    </row>
    <row r="3" spans="1:17" ht="15.95" customHeight="1">
      <c r="A3" s="57"/>
      <c r="B3" s="154" t="s">
        <v>130</v>
      </c>
      <c r="C3" s="155"/>
      <c r="D3" s="155"/>
      <c r="E3" s="156"/>
      <c r="F3" s="459">
        <v>15</v>
      </c>
      <c r="G3" s="58"/>
    </row>
    <row r="4" spans="1:17" ht="15.95" customHeight="1">
      <c r="A4" s="57"/>
      <c r="B4" s="576" t="s">
        <v>139</v>
      </c>
      <c r="C4" s="577"/>
      <c r="D4" s="577"/>
      <c r="E4" s="578"/>
      <c r="F4" s="459">
        <v>6</v>
      </c>
      <c r="G4" s="58"/>
      <c r="N4" s="580" t="str">
        <f>"You would've earned Rs. "&amp;TEXT(F15/100000,"0.00")&amp;" lakhs more if not made a lesser investment of Rs. "&amp;TEXT(F13,"00,000")</f>
        <v>You would've earned Rs. 1.72 lakhs more if not made a lesser investment of Rs. 60,000</v>
      </c>
      <c r="O4" s="581"/>
      <c r="P4" s="581"/>
      <c r="Q4" s="582"/>
    </row>
    <row r="5" spans="1:17" ht="15.95" customHeight="1">
      <c r="A5" s="57"/>
      <c r="B5" s="154" t="s">
        <v>131</v>
      </c>
      <c r="C5" s="155"/>
      <c r="D5" s="155"/>
      <c r="E5" s="156"/>
      <c r="F5" s="460">
        <v>0.15</v>
      </c>
      <c r="G5" s="58"/>
      <c r="J5" s="189" t="s">
        <v>31</v>
      </c>
      <c r="K5" s="208" t="s">
        <v>156</v>
      </c>
      <c r="N5" s="583"/>
      <c r="O5" s="584"/>
      <c r="P5" s="584"/>
      <c r="Q5" s="585"/>
    </row>
    <row r="6" spans="1:17" ht="15.95" customHeight="1">
      <c r="A6" s="57"/>
      <c r="B6" s="154" t="s">
        <v>121</v>
      </c>
      <c r="C6" s="150"/>
      <c r="D6" s="150"/>
      <c r="E6" s="151"/>
      <c r="F6" s="461">
        <v>7.0000000000000007E-2</v>
      </c>
      <c r="G6" s="58"/>
      <c r="J6" s="190">
        <f>F13</f>
        <v>60000</v>
      </c>
      <c r="K6" s="190">
        <f>F15</f>
        <v>171910.6236878848</v>
      </c>
      <c r="N6" s="583"/>
      <c r="O6" s="584"/>
      <c r="P6" s="584"/>
      <c r="Q6" s="585"/>
    </row>
    <row r="7" spans="1:17" ht="15.95" customHeight="1">
      <c r="A7" s="57"/>
      <c r="G7" s="58"/>
      <c r="J7" s="190"/>
      <c r="K7" s="190"/>
      <c r="N7" s="583"/>
      <c r="O7" s="584"/>
      <c r="P7" s="584"/>
      <c r="Q7" s="585"/>
    </row>
    <row r="8" spans="1:17" ht="15.95" customHeight="1">
      <c r="A8" s="57"/>
      <c r="G8" s="58"/>
      <c r="J8" s="190"/>
      <c r="K8" s="190"/>
      <c r="N8" s="583"/>
      <c r="O8" s="584"/>
      <c r="P8" s="584"/>
      <c r="Q8" s="585"/>
    </row>
    <row r="9" spans="1:17" ht="15.95" customHeight="1">
      <c r="A9" s="57"/>
      <c r="G9" s="58"/>
      <c r="J9" s="190"/>
      <c r="K9" s="190"/>
      <c r="N9" s="583"/>
      <c r="O9" s="584"/>
      <c r="P9" s="584"/>
      <c r="Q9" s="585"/>
    </row>
    <row r="10" spans="1:17" ht="15.95" customHeight="1">
      <c r="A10" s="57"/>
      <c r="B10" s="438" t="s">
        <v>19</v>
      </c>
      <c r="C10" s="439"/>
      <c r="D10" s="439"/>
      <c r="E10" s="440"/>
      <c r="F10" s="462">
        <f>FV((1+F5)^(1/12)-1,F3*12,-F2,,1)</f>
        <v>6163655.9291027114</v>
      </c>
      <c r="G10" s="58"/>
      <c r="N10" s="583"/>
      <c r="O10" s="584"/>
      <c r="P10" s="584"/>
      <c r="Q10" s="585"/>
    </row>
    <row r="11" spans="1:17" ht="15.95" customHeight="1">
      <c r="A11" s="57"/>
      <c r="B11" s="148" t="s">
        <v>20</v>
      </c>
      <c r="C11" s="145"/>
      <c r="D11" s="145"/>
      <c r="E11" s="146"/>
      <c r="F11" s="153">
        <f>FV((1+F5)^(1/12)-1,(F3*12)-F4,-F2,,1)</f>
        <v>5689349.0961637925</v>
      </c>
      <c r="G11" s="58"/>
      <c r="N11" s="583"/>
      <c r="O11" s="584"/>
      <c r="P11" s="584"/>
      <c r="Q11" s="585"/>
    </row>
    <row r="12" spans="1:17" ht="15.95" customHeight="1">
      <c r="A12" s="57"/>
      <c r="B12" s="438" t="s">
        <v>21</v>
      </c>
      <c r="C12" s="463"/>
      <c r="D12" s="463"/>
      <c r="E12" s="464"/>
      <c r="F12" s="143">
        <f>F10-F11</f>
        <v>474306.83293891884</v>
      </c>
      <c r="G12" s="58"/>
      <c r="N12" s="583"/>
      <c r="O12" s="584"/>
      <c r="P12" s="584"/>
      <c r="Q12" s="585"/>
    </row>
    <row r="13" spans="1:17" ht="15.95" customHeight="1">
      <c r="A13" s="57"/>
      <c r="B13" s="438" t="s">
        <v>22</v>
      </c>
      <c r="C13" s="463"/>
      <c r="D13" s="463"/>
      <c r="E13" s="464"/>
      <c r="F13" s="465">
        <f>F4*SIP_DELAY</f>
        <v>60000</v>
      </c>
      <c r="G13" s="58"/>
      <c r="N13" s="583"/>
      <c r="O13" s="584"/>
      <c r="P13" s="584"/>
      <c r="Q13" s="585"/>
    </row>
    <row r="14" spans="1:17" ht="15.95" customHeight="1">
      <c r="A14" s="57"/>
      <c r="B14" s="152"/>
      <c r="C14" s="150"/>
      <c r="D14" s="150"/>
      <c r="E14" s="150"/>
      <c r="F14" s="51"/>
      <c r="G14" s="58"/>
      <c r="N14" s="583"/>
      <c r="O14" s="584"/>
      <c r="P14" s="584"/>
      <c r="Q14" s="585"/>
    </row>
    <row r="15" spans="1:17" ht="15.95" customHeight="1">
      <c r="A15" s="57"/>
      <c r="B15" s="466" t="str">
        <f>"Present value of loss @"&amp;F6*100&amp;"% bank FD rate of interest"</f>
        <v>Present value of loss @7% bank FD rate of interest</v>
      </c>
      <c r="C15" s="467"/>
      <c r="D15" s="467"/>
      <c r="E15" s="468"/>
      <c r="F15" s="465">
        <f>-PV(F6,F3,,F12)</f>
        <v>171910.6236878848</v>
      </c>
      <c r="G15" s="58"/>
      <c r="N15" s="583"/>
      <c r="O15" s="584"/>
      <c r="P15" s="584"/>
      <c r="Q15" s="585"/>
    </row>
    <row r="16" spans="1:17" ht="15.95" customHeight="1">
      <c r="A16" s="57"/>
      <c r="B16" s="72"/>
      <c r="C16" s="72"/>
      <c r="D16" s="72"/>
      <c r="E16" s="72"/>
      <c r="F16" s="72"/>
      <c r="G16" s="58"/>
      <c r="I16" s="579"/>
      <c r="J16" s="579"/>
      <c r="K16" s="579"/>
      <c r="L16" s="579"/>
      <c r="M16" s="579"/>
      <c r="N16" s="583"/>
      <c r="O16" s="584"/>
      <c r="P16" s="584"/>
      <c r="Q16" s="585"/>
    </row>
    <row r="17" spans="1:17" ht="15.95" customHeight="1">
      <c r="A17" s="191"/>
      <c r="B17" s="192"/>
      <c r="C17" s="192"/>
      <c r="D17" s="192"/>
      <c r="E17" s="192"/>
      <c r="F17" s="192"/>
      <c r="G17" s="149"/>
      <c r="N17" s="586"/>
      <c r="O17" s="587"/>
      <c r="P17" s="587"/>
      <c r="Q17" s="588"/>
    </row>
    <row r="18" spans="1:17" ht="15.95" customHeight="1">
      <c r="B18" s="72"/>
      <c r="C18" s="72"/>
      <c r="D18" s="72"/>
      <c r="E18" s="72"/>
      <c r="F18" s="72"/>
    </row>
    <row r="19" spans="1:17" ht="15.95" customHeight="1">
      <c r="B19" s="72"/>
      <c r="C19" s="72"/>
      <c r="D19" s="72"/>
      <c r="E19" s="72"/>
      <c r="F19" s="72"/>
    </row>
    <row r="20" spans="1:17" ht="15.95" customHeight="1">
      <c r="B20" s="72"/>
      <c r="C20" s="72"/>
      <c r="D20" s="72"/>
      <c r="E20" s="72"/>
      <c r="F20" s="72"/>
      <c r="H20" s="193"/>
    </row>
    <row r="21" spans="1:17" ht="15.95" customHeight="1">
      <c r="B21" s="72"/>
      <c r="C21" s="72"/>
      <c r="D21" s="72"/>
      <c r="E21" s="72"/>
      <c r="F21" s="72"/>
    </row>
    <row r="22" spans="1:17" ht="15.95" customHeight="1">
      <c r="B22" s="72"/>
      <c r="C22" s="72"/>
      <c r="D22" s="72"/>
      <c r="E22" s="72"/>
      <c r="F22" s="72"/>
    </row>
  </sheetData>
  <mergeCells count="4">
    <mergeCell ref="B4:E4"/>
    <mergeCell ref="I16:J16"/>
    <mergeCell ref="K16:M16"/>
    <mergeCell ref="N4:Q17"/>
  </mergeCells>
  <pageMargins left="0.7" right="0.7" top="0.75" bottom="0.75" header="0.3" footer="0.3"/>
  <pageSetup scale="87" orientation="landscape" r:id="rId1"/>
  <colBreaks count="1" manualBreakCount="1">
    <brk id="13" max="1048575" man="1"/>
  </col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8"/>
  <dimension ref="A1:W23"/>
  <sheetViews>
    <sheetView showGridLines="0" workbookViewId="0">
      <selection activeCell="F2" sqref="F2"/>
    </sheetView>
  </sheetViews>
  <sheetFormatPr defaultColWidth="0" defaultRowHeight="15" zeroHeight="1"/>
  <cols>
    <col min="1" max="1" width="4.140625" style="33" customWidth="1"/>
    <col min="2" max="6" width="14.7109375" style="33" customWidth="1"/>
    <col min="7" max="9" width="3.28515625" style="33" customWidth="1"/>
    <col min="10" max="13" width="9.140625" style="33" customWidth="1"/>
    <col min="14" max="14" width="5.5703125" style="33" customWidth="1"/>
    <col min="15" max="15" width="10.85546875" style="33" bestFit="1" customWidth="1"/>
    <col min="16" max="16" width="2" style="33" hidden="1" customWidth="1"/>
    <col min="17" max="18" width="2" style="33" customWidth="1"/>
    <col min="19" max="23" width="9.140625" style="33" customWidth="1"/>
    <col min="24" max="16384" width="9.140625" style="33" hidden="1"/>
  </cols>
  <sheetData>
    <row r="1" spans="1:22" ht="22.5" customHeight="1">
      <c r="A1" s="54"/>
      <c r="B1" s="593" t="s">
        <v>119</v>
      </c>
      <c r="C1" s="593"/>
      <c r="D1" s="593"/>
      <c r="E1" s="593"/>
      <c r="F1" s="593"/>
      <c r="G1" s="56"/>
      <c r="H1" s="37"/>
      <c r="I1" s="37"/>
      <c r="J1" s="592" t="s">
        <v>118</v>
      </c>
      <c r="K1" s="593"/>
      <c r="L1" s="593"/>
      <c r="M1" s="593"/>
      <c r="N1" s="593"/>
      <c r="O1" s="593"/>
      <c r="P1" s="55"/>
      <c r="Q1" s="56"/>
    </row>
    <row r="2" spans="1:22" s="34" customFormat="1" ht="15.95" customHeight="1">
      <c r="A2" s="57"/>
      <c r="B2" s="154" t="s">
        <v>48</v>
      </c>
      <c r="C2" s="146"/>
      <c r="D2" s="482">
        <v>1000000</v>
      </c>
      <c r="E2" s="157" t="s">
        <v>4</v>
      </c>
      <c r="F2" s="460">
        <v>7.0000000000000007E-2</v>
      </c>
      <c r="G2" s="58"/>
      <c r="H2" s="50"/>
      <c r="I2" s="50"/>
      <c r="J2" s="154" t="s">
        <v>140</v>
      </c>
      <c r="K2" s="150"/>
      <c r="L2" s="162"/>
      <c r="M2" s="162"/>
      <c r="N2" s="151"/>
      <c r="O2" s="460">
        <v>7.0000000000000007E-2</v>
      </c>
      <c r="P2" s="50"/>
      <c r="Q2" s="58"/>
    </row>
    <row r="3" spans="1:22" s="34" customFormat="1" ht="15.95" customHeight="1">
      <c r="A3" s="57"/>
      <c r="B3" s="158" t="s">
        <v>150</v>
      </c>
      <c r="C3" s="159"/>
      <c r="D3" s="483">
        <v>15</v>
      </c>
      <c r="E3" s="485" t="s">
        <v>5</v>
      </c>
      <c r="F3" s="486">
        <f>FV(SIP_TARGET,D3,,-D2,)</f>
        <v>2759031.5407153345</v>
      </c>
      <c r="G3" s="58"/>
      <c r="H3" s="50"/>
      <c r="I3" s="50"/>
      <c r="J3" s="163" t="s">
        <v>28</v>
      </c>
      <c r="K3" s="162"/>
      <c r="L3" s="164"/>
      <c r="M3" s="164"/>
      <c r="N3" s="165"/>
      <c r="O3" s="484">
        <v>0.312</v>
      </c>
      <c r="P3" s="50"/>
      <c r="Q3" s="58"/>
    </row>
    <row r="4" spans="1:22" s="34" customFormat="1" ht="15.95" customHeight="1">
      <c r="A4" s="57"/>
      <c r="B4" s="160"/>
      <c r="C4" s="161" t="s">
        <v>120</v>
      </c>
      <c r="D4" s="145"/>
      <c r="E4" s="146"/>
      <c r="F4" s="53">
        <v>0.15</v>
      </c>
      <c r="G4" s="58"/>
      <c r="H4" s="50"/>
      <c r="I4" s="50"/>
      <c r="J4" s="487" t="s">
        <v>23</v>
      </c>
      <c r="K4" s="488"/>
      <c r="L4" s="488"/>
      <c r="M4" s="488"/>
      <c r="N4" s="489"/>
      <c r="O4" s="486">
        <f>-PMT((1+P5)^(1/12)-1,D3*12,,F3,1)</f>
        <v>8818.6348821875235</v>
      </c>
      <c r="P4" s="50"/>
      <c r="Q4" s="58"/>
    </row>
    <row r="5" spans="1:22" ht="15.95" customHeight="1">
      <c r="A5" s="59"/>
      <c r="B5" s="37"/>
      <c r="C5" s="37"/>
      <c r="D5" s="37"/>
      <c r="E5" s="37"/>
      <c r="F5" s="37"/>
      <c r="G5" s="60"/>
      <c r="H5" s="37"/>
      <c r="I5" s="37"/>
      <c r="J5" s="61"/>
      <c r="K5" s="66"/>
      <c r="L5" s="66"/>
      <c r="M5" s="66"/>
      <c r="N5" s="66"/>
      <c r="O5" s="66"/>
      <c r="P5" s="68">
        <f>IF(O3=10.3%,O2-O2*10.3%,IF(O3=20.6%,O2-O2*20.6%,IF(O3=30.9%,O2-O2*30.9%,O2)))</f>
        <v>7.0000000000000007E-2</v>
      </c>
      <c r="Q5" s="70"/>
      <c r="R5" s="69"/>
    </row>
    <row r="6" spans="1:22" ht="15.95" customHeight="1">
      <c r="A6" s="59"/>
      <c r="B6" s="144"/>
      <c r="C6" s="152" t="s">
        <v>23</v>
      </c>
      <c r="D6" s="145"/>
      <c r="E6" s="146"/>
      <c r="F6" s="147">
        <f>-PMT((1+F4)^(1/12)-1,D3*12,,F3,1)</f>
        <v>4476.2906503072627</v>
      </c>
      <c r="G6" s="60"/>
      <c r="H6" s="37"/>
      <c r="I6" s="37"/>
      <c r="S6"/>
      <c r="T6"/>
      <c r="U6"/>
      <c r="V6"/>
    </row>
    <row r="7" spans="1:22" ht="15.95" customHeight="1">
      <c r="A7" s="61"/>
      <c r="B7" s="62"/>
      <c r="C7" s="62"/>
      <c r="D7" s="62"/>
      <c r="E7" s="62"/>
      <c r="F7" s="62"/>
      <c r="G7" s="63"/>
      <c r="H7" s="37"/>
      <c r="I7" s="37"/>
      <c r="S7"/>
      <c r="T7"/>
      <c r="U7"/>
      <c r="V7"/>
    </row>
    <row r="8" spans="1:22" ht="13.5" customHeight="1">
      <c r="A8" s="37"/>
      <c r="B8" s="594" t="s">
        <v>154</v>
      </c>
      <c r="C8" s="594"/>
      <c r="D8" s="594"/>
      <c r="E8" s="594"/>
      <c r="F8" s="594"/>
      <c r="G8" s="594"/>
      <c r="H8" s="37"/>
      <c r="I8" s="37"/>
      <c r="S8"/>
      <c r="T8"/>
      <c r="U8"/>
      <c r="V8"/>
    </row>
    <row r="9" spans="1:22" ht="13.5" customHeight="1">
      <c r="A9" s="37"/>
      <c r="B9" s="595"/>
      <c r="C9" s="595"/>
      <c r="D9" s="595"/>
      <c r="E9" s="595"/>
      <c r="F9" s="595"/>
      <c r="G9" s="595"/>
      <c r="H9" s="37"/>
      <c r="I9" s="37"/>
      <c r="S9" s="589" t="str">
        <f>"To achieve your goal through MF investment, you need to start an SIP of Rs."&amp;TEXT(F6,"00,00")&amp;". Whereas; if you'd have taken the FD route, you need to start an RD of Rs."&amp;TEXT(O4,"00,00")</f>
        <v>To achieve your goal through MF investment, you need to start an SIP of Rs.4,476. Whereas; if you'd have taken the FD route, you need to start an RD of Rs.8,819</v>
      </c>
      <c r="T9" s="589"/>
      <c r="U9" s="589"/>
      <c r="V9" s="589"/>
    </row>
    <row r="10" spans="1:22" ht="15.95" customHeight="1">
      <c r="B10" s="591" t="s">
        <v>134</v>
      </c>
      <c r="C10" s="591"/>
      <c r="D10" s="591"/>
      <c r="E10" s="591"/>
      <c r="F10" s="591"/>
      <c r="S10" s="589"/>
      <c r="T10" s="589"/>
      <c r="U10" s="589"/>
      <c r="V10" s="589"/>
    </row>
    <row r="11" spans="1:22" ht="15.95" customHeight="1">
      <c r="B11" s="591"/>
      <c r="C11" s="591"/>
      <c r="D11" s="591"/>
      <c r="E11" s="591"/>
      <c r="F11" s="591"/>
      <c r="S11" s="589"/>
      <c r="T11" s="589"/>
      <c r="U11" s="589"/>
      <c r="V11" s="589"/>
    </row>
    <row r="12" spans="1:22" ht="15.95" customHeight="1">
      <c r="S12" s="589"/>
      <c r="T12" s="589"/>
      <c r="U12" s="589"/>
      <c r="V12" s="589"/>
    </row>
    <row r="13" spans="1:22" ht="15.95" customHeight="1">
      <c r="B13" s="42" t="s">
        <v>18</v>
      </c>
      <c r="C13" s="67">
        <f>D3-1</f>
        <v>14</v>
      </c>
      <c r="D13" s="67">
        <f>D3</f>
        <v>15</v>
      </c>
      <c r="E13" s="67">
        <f>D3+1</f>
        <v>16</v>
      </c>
      <c r="F13" s="67">
        <f>D3+2</f>
        <v>17</v>
      </c>
      <c r="S13" s="589"/>
      <c r="T13" s="589"/>
      <c r="U13" s="589"/>
      <c r="V13" s="589"/>
    </row>
    <row r="14" spans="1:22" ht="15.95" customHeight="1">
      <c r="B14" s="194">
        <f>P5</f>
        <v>7.0000000000000007E-2</v>
      </c>
      <c r="C14" s="195">
        <f t="shared" ref="C14:C16" si="0">IF($C$13&lt;=0,0,-PMT((1+B14)^(1/12)-1,$C$13*12,,$F$3,1))</f>
        <v>9827.001146502058</v>
      </c>
      <c r="D14" s="195">
        <f t="shared" ref="D14:D16" si="1">-PMT((1+B14)^(1/12)-1,$D$13*12,,$F$3,1)</f>
        <v>8818.6348821875235</v>
      </c>
      <c r="E14" s="195">
        <f t="shared" ref="E14:E16" si="2">-PMT((1+B14)^(1/12)-1,$E$13*12,,$F$3,1)</f>
        <v>7946.1863356595195</v>
      </c>
      <c r="F14" s="195">
        <f t="shared" ref="F14:F16" si="3">-PMT((1+B14)^(1/12)-1,$F$13*12,,$F$3,1)</f>
        <v>7185.5417846932605</v>
      </c>
      <c r="L14" s="35" t="s">
        <v>30</v>
      </c>
      <c r="M14" s="35" t="s">
        <v>29</v>
      </c>
      <c r="S14" s="589"/>
      <c r="T14" s="589"/>
      <c r="U14" s="589"/>
      <c r="V14" s="589"/>
    </row>
    <row r="15" spans="1:22" ht="15.95" customHeight="1">
      <c r="B15" s="48">
        <f>O2</f>
        <v>7.0000000000000007E-2</v>
      </c>
      <c r="C15" s="45">
        <f t="shared" si="0"/>
        <v>9827.001146502058</v>
      </c>
      <c r="D15" s="45">
        <f t="shared" si="1"/>
        <v>8818.6348821875235</v>
      </c>
      <c r="E15" s="45">
        <f t="shared" si="2"/>
        <v>7946.1863356595195</v>
      </c>
      <c r="F15" s="45">
        <f t="shared" si="3"/>
        <v>7185.5417846932605</v>
      </c>
      <c r="L15" s="36">
        <f>O4</f>
        <v>8818.6348821875235</v>
      </c>
      <c r="M15" s="36">
        <f>F6</f>
        <v>4476.2906503072627</v>
      </c>
      <c r="S15" s="589"/>
      <c r="T15" s="589"/>
      <c r="U15" s="589"/>
      <c r="V15" s="589"/>
    </row>
    <row r="16" spans="1:22" ht="15.95" customHeight="1">
      <c r="B16" s="46">
        <f>F4</f>
        <v>0.15</v>
      </c>
      <c r="C16" s="44">
        <f t="shared" si="0"/>
        <v>5258.2471040667897</v>
      </c>
      <c r="D16" s="44">
        <f t="shared" si="1"/>
        <v>4476.2906503072627</v>
      </c>
      <c r="E16" s="44">
        <f t="shared" si="2"/>
        <v>3822.5665802146927</v>
      </c>
      <c r="F16" s="44">
        <f t="shared" si="3"/>
        <v>3272.8919355462658</v>
      </c>
      <c r="S16" s="589"/>
      <c r="T16" s="589"/>
      <c r="U16" s="589"/>
      <c r="V16" s="589"/>
    </row>
    <row r="17" spans="2:22" ht="15.95" customHeight="1">
      <c r="B17" s="43">
        <v>0.08</v>
      </c>
      <c r="C17" s="38">
        <f>IF($C$13&lt;=0,0,-PMT((1+B17)^(1/12)-1,$C$13*12,,$F$3,1))</f>
        <v>9105.0306123282771</v>
      </c>
      <c r="D17" s="38">
        <f>-PMT((1+B17)^(1/12)-1,$D$13*12,,$F$3,1)</f>
        <v>8120.0893317108294</v>
      </c>
      <c r="E17" s="38">
        <f>-PMT((1+B17)^(1/12)-1,$E$13*12,,$F$3,1)</f>
        <v>7270.6612826722885</v>
      </c>
      <c r="F17" s="38">
        <f>-PMT((1+B17)^(1/12)-1,$F$13*12,,$F$3,1)</f>
        <v>6532.6256687472542</v>
      </c>
      <c r="S17" s="589"/>
      <c r="T17" s="589"/>
      <c r="U17" s="589"/>
      <c r="V17" s="589"/>
    </row>
    <row r="18" spans="2:22" ht="15.95" customHeight="1">
      <c r="B18" s="43">
        <v>0.1</v>
      </c>
      <c r="C18" s="38">
        <f t="shared" ref="C18:C22" si="4">IF($C$13&lt;=0,0,-PMT((1+B18)^(1/12)-1,$C$13*12,,$F$3,1))</f>
        <v>7802.2761517175149</v>
      </c>
      <c r="D18" s="38">
        <f t="shared" ref="D18:D22" si="5">-PMT((1+B18)^(1/12)-1,$D$13*12,,$F$3,1)</f>
        <v>6869.7355026406258</v>
      </c>
      <c r="E18" s="38">
        <f t="shared" ref="E18:E22" si="6">-PMT((1+B18)^(1/12)-1,$E$13*12,,$F$3,1)</f>
        <v>6071.4933416653521</v>
      </c>
      <c r="F18" s="38">
        <f t="shared" ref="F18:F22" si="7">-PMT((1+B18)^(1/12)-1,$F$13*12,,$F$3,1)</f>
        <v>5383.4047399295823</v>
      </c>
      <c r="S18" s="589"/>
      <c r="T18" s="589"/>
      <c r="U18" s="589"/>
      <c r="V18" s="589"/>
    </row>
    <row r="19" spans="2:22" ht="15.95" customHeight="1">
      <c r="B19" s="43">
        <v>0.12</v>
      </c>
      <c r="C19" s="38">
        <f t="shared" si="4"/>
        <v>6671.7389783574345</v>
      </c>
      <c r="D19" s="38">
        <f t="shared" si="5"/>
        <v>5797.1202260215214</v>
      </c>
      <c r="E19" s="38">
        <f t="shared" si="6"/>
        <v>5054.9334637443762</v>
      </c>
      <c r="F19" s="38">
        <f t="shared" si="7"/>
        <v>4421.0054172409109</v>
      </c>
      <c r="S19" s="589"/>
      <c r="T19" s="589"/>
      <c r="U19" s="589"/>
      <c r="V19" s="589"/>
    </row>
    <row r="20" spans="2:22" ht="15.95" customHeight="1">
      <c r="B20" s="43">
        <v>0.15</v>
      </c>
      <c r="C20" s="38">
        <f t="shared" si="4"/>
        <v>5258.2471040667897</v>
      </c>
      <c r="D20" s="490">
        <f t="shared" si="5"/>
        <v>4476.2906503072627</v>
      </c>
      <c r="E20" s="38">
        <f t="shared" si="6"/>
        <v>3822.5665802146927</v>
      </c>
      <c r="F20" s="38">
        <f t="shared" si="7"/>
        <v>3272.8919355462658</v>
      </c>
      <c r="S20" s="589"/>
      <c r="T20" s="589"/>
      <c r="U20" s="589"/>
      <c r="V20" s="589"/>
    </row>
    <row r="21" spans="2:22" ht="15.95" customHeight="1">
      <c r="B21" s="43">
        <v>0.18</v>
      </c>
      <c r="C21" s="38">
        <f t="shared" si="4"/>
        <v>4131.7059025593899</v>
      </c>
      <c r="D21" s="38">
        <f t="shared" si="5"/>
        <v>3444.012228139401</v>
      </c>
      <c r="E21" s="38">
        <f t="shared" si="6"/>
        <v>2878.6394335243785</v>
      </c>
      <c r="F21" s="38">
        <f t="shared" si="7"/>
        <v>2411.506338401166</v>
      </c>
      <c r="K21" s="590"/>
      <c r="L21" s="590"/>
      <c r="M21" s="590"/>
      <c r="N21" s="590"/>
      <c r="O21" s="590"/>
      <c r="S21" s="589"/>
      <c r="T21" s="589"/>
      <c r="U21" s="589"/>
      <c r="V21" s="589"/>
    </row>
    <row r="22" spans="2:22" ht="15.95" customHeight="1">
      <c r="B22" s="43">
        <v>0.2</v>
      </c>
      <c r="C22" s="38">
        <f t="shared" si="4"/>
        <v>3513.9583080724519</v>
      </c>
      <c r="D22" s="38">
        <f t="shared" si="5"/>
        <v>2887.6475981131493</v>
      </c>
      <c r="E22" s="38">
        <f t="shared" si="6"/>
        <v>2378.853391876044</v>
      </c>
      <c r="F22" s="38">
        <f t="shared" si="7"/>
        <v>1963.6638887363069</v>
      </c>
      <c r="S22" s="589"/>
      <c r="T22" s="589"/>
      <c r="U22" s="589"/>
      <c r="V22" s="589"/>
    </row>
    <row r="23" spans="2:22" ht="15.95" customHeight="1">
      <c r="S23" s="589"/>
      <c r="T23" s="589"/>
      <c r="U23" s="589"/>
      <c r="V23" s="589"/>
    </row>
  </sheetData>
  <mergeCells count="7">
    <mergeCell ref="S9:V23"/>
    <mergeCell ref="K21:L21"/>
    <mergeCell ref="M21:O21"/>
    <mergeCell ref="B10:F11"/>
    <mergeCell ref="J1:O1"/>
    <mergeCell ref="B1:F1"/>
    <mergeCell ref="B8:G9"/>
  </mergeCells>
  <conditionalFormatting sqref="C17:F22">
    <cfRule type="cellIs" dxfId="40" priority="1" operator="equal">
      <formula>$F$6</formula>
    </cfRule>
  </conditionalFormatting>
  <dataValidations count="3">
    <dataValidation type="whole" operator="greaterThanOrEqual" allowBlank="1" showInputMessage="1" showErrorMessage="1" error="You have entered a wrong value." prompt="Enter any value which is greater than or equal to 1" sqref="D3" xr:uid="{00000000-0002-0000-0300-000000000000}">
      <formula1>1</formula1>
    </dataValidation>
    <dataValidation operator="greaterThanOrEqual" allowBlank="1" showInputMessage="1" showErrorMessage="1" error="You have entered a wrong value." sqref="F3" xr:uid="{00000000-0002-0000-0300-000001000000}"/>
    <dataValidation type="list" allowBlank="1" showInputMessage="1" showErrorMessage="1" sqref="O3" xr:uid="{00000000-0002-0000-0300-000002000000}">
      <formula1>"5.20%,20.80%,31.20%"</formula1>
    </dataValidation>
  </dataValidations>
  <pageMargins left="0.7" right="0.7" top="0.75" bottom="0.75" header="0.3" footer="0.3"/>
  <pageSetup scale="86" orientation="landscape" r:id="rId1"/>
  <colBreaks count="1" manualBreakCount="1">
    <brk id="18" max="1048575" man="1"/>
  </col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9"/>
  <dimension ref="A1:R69"/>
  <sheetViews>
    <sheetView showGridLines="0" workbookViewId="0">
      <selection activeCell="G2" sqref="G2"/>
    </sheetView>
  </sheetViews>
  <sheetFormatPr defaultColWidth="0" defaultRowHeight="12.75" zeroHeight="1"/>
  <cols>
    <col min="1" max="1" width="4.140625" style="52" customWidth="1"/>
    <col min="2" max="2" width="12.85546875" style="52" customWidth="1"/>
    <col min="3" max="3" width="12.28515625" style="52" customWidth="1"/>
    <col min="4" max="4" width="8.85546875" style="52" customWidth="1"/>
    <col min="5" max="5" width="13.7109375" style="52" customWidth="1"/>
    <col min="6" max="6" width="5.7109375" style="52" customWidth="1"/>
    <col min="7" max="7" width="11.42578125" style="52" customWidth="1"/>
    <col min="8" max="8" width="10.7109375" style="52" customWidth="1"/>
    <col min="9" max="9" width="9.140625" style="52" customWidth="1"/>
    <col min="10" max="10" width="6.28515625" style="52" customWidth="1"/>
    <col min="11" max="11" width="6.7109375" style="52" customWidth="1"/>
    <col min="12" max="13" width="9.140625" style="52" customWidth="1"/>
    <col min="14" max="14" width="7.140625" style="52" customWidth="1"/>
    <col min="15" max="17" width="9.140625" style="52" customWidth="1"/>
    <col min="18" max="18" width="4.140625" style="52" customWidth="1"/>
    <col min="19" max="16384" width="9.140625" style="52" hidden="1"/>
  </cols>
  <sheetData>
    <row r="1" spans="1:17" ht="22.5" customHeight="1">
      <c r="B1" s="595" t="s">
        <v>7</v>
      </c>
      <c r="C1" s="595"/>
      <c r="D1" s="595"/>
      <c r="E1" s="595"/>
      <c r="F1" s="595"/>
      <c r="G1" s="595"/>
      <c r="I1" s="595" t="s">
        <v>35</v>
      </c>
      <c r="J1" s="595"/>
      <c r="K1" s="595"/>
      <c r="L1" s="595"/>
      <c r="M1" s="595"/>
      <c r="N1" s="595"/>
      <c r="O1" s="595"/>
      <c r="P1" s="595"/>
      <c r="Q1" s="85"/>
    </row>
    <row r="2" spans="1:17" s="72" customFormat="1" ht="20.25" customHeight="1">
      <c r="A2" s="86"/>
      <c r="B2" s="169" t="s">
        <v>124</v>
      </c>
      <c r="C2" s="491">
        <v>43</v>
      </c>
      <c r="D2" s="599" t="s">
        <v>125</v>
      </c>
      <c r="E2" s="599"/>
      <c r="F2" s="599"/>
      <c r="G2" s="492">
        <v>60</v>
      </c>
      <c r="H2" s="79"/>
      <c r="I2" s="170" t="s">
        <v>155</v>
      </c>
      <c r="J2" s="175"/>
      <c r="K2" s="175"/>
      <c r="L2" s="175"/>
      <c r="M2" s="175"/>
      <c r="N2" s="173"/>
      <c r="O2" s="600">
        <v>40000</v>
      </c>
      <c r="P2" s="600"/>
    </row>
    <row r="3" spans="1:17" s="72" customFormat="1" ht="20.25" customHeight="1">
      <c r="A3" s="86"/>
      <c r="B3" s="176" t="s">
        <v>141</v>
      </c>
      <c r="C3" s="177"/>
      <c r="D3" s="178"/>
      <c r="E3" s="178"/>
      <c r="F3" s="180"/>
      <c r="G3" s="493">
        <v>20000</v>
      </c>
      <c r="I3" s="170" t="s">
        <v>126</v>
      </c>
      <c r="J3" s="171"/>
      <c r="K3" s="171"/>
      <c r="L3" s="171"/>
      <c r="M3" s="171"/>
      <c r="N3" s="173"/>
      <c r="O3" s="604">
        <v>0.06</v>
      </c>
      <c r="P3" s="604"/>
    </row>
    <row r="4" spans="1:17" s="72" customFormat="1" ht="20.25" customHeight="1">
      <c r="A4" s="86"/>
      <c r="B4" s="176" t="s">
        <v>122</v>
      </c>
      <c r="C4" s="177"/>
      <c r="D4" s="178"/>
      <c r="E4" s="178"/>
      <c r="F4" s="179"/>
      <c r="G4" s="494">
        <v>0.1</v>
      </c>
      <c r="H4" s="79"/>
      <c r="I4" s="495" t="s">
        <v>142</v>
      </c>
      <c r="J4" s="496"/>
      <c r="K4" s="496"/>
      <c r="L4" s="496"/>
      <c r="M4" s="496"/>
      <c r="N4" s="497"/>
      <c r="O4" s="602">
        <f>O2*(1+O3)^(G2-C2)</f>
        <v>107710.91143067255</v>
      </c>
      <c r="P4" s="603"/>
    </row>
    <row r="5" spans="1:17" s="72" customFormat="1" ht="20.25" customHeight="1">
      <c r="B5" s="74"/>
      <c r="D5" s="74"/>
      <c r="E5" s="74"/>
      <c r="F5" s="74"/>
      <c r="G5" s="74"/>
    </row>
    <row r="6" spans="1:17" s="72" customFormat="1" ht="20.25" customHeight="1">
      <c r="B6" s="74"/>
      <c r="D6" s="74"/>
      <c r="E6" s="74"/>
      <c r="F6" s="74"/>
      <c r="G6" s="74"/>
      <c r="I6" s="74"/>
    </row>
    <row r="7" spans="1:17" s="72" customFormat="1" ht="20.25" customHeight="1">
      <c r="A7" s="86"/>
      <c r="B7" s="170" t="s">
        <v>123</v>
      </c>
      <c r="C7" s="171"/>
      <c r="D7" s="172"/>
      <c r="E7" s="172"/>
      <c r="F7" s="174"/>
      <c r="G7" s="494">
        <v>0.13</v>
      </c>
      <c r="H7" s="79"/>
      <c r="I7" s="170" t="s">
        <v>127</v>
      </c>
      <c r="J7" s="171"/>
      <c r="K7" s="171"/>
      <c r="L7" s="171"/>
      <c r="M7" s="171"/>
      <c r="N7" s="173"/>
      <c r="O7" s="601">
        <v>0.1</v>
      </c>
      <c r="P7" s="601"/>
    </row>
    <row r="8" spans="1:17" s="72" customFormat="1" ht="20.25" customHeight="1">
      <c r="N8" s="80"/>
    </row>
    <row r="9" spans="1:17" s="72" customFormat="1" ht="20.25" customHeight="1">
      <c r="N9" s="80"/>
    </row>
    <row r="10" spans="1:17" s="72" customFormat="1" ht="20.25" customHeight="1">
      <c r="E10" s="75" t="str">
        <f>"Accumulated wealth @ retirement (age: "&amp;RETIREMENT&amp;")"</f>
        <v>Accumulated wealth @ retirement (age: 60)</v>
      </c>
      <c r="J10" s="598">
        <f>FV(G7,G2-C2,0,PV(((1+G7)/(1+G4)-1)/12,(G2-C2)*12,G3,0,1))</f>
        <v>26109437.378766872</v>
      </c>
      <c r="K10" s="598"/>
      <c r="L10" s="598"/>
    </row>
    <row r="11" spans="1:17" s="72" customFormat="1" ht="20.25" customHeight="1">
      <c r="E11" s="75" t="s">
        <v>143</v>
      </c>
      <c r="J11" s="77" t="str">
        <f>IF(ISERROR(G18),"&gt;","&lt;")</f>
        <v>&lt;</v>
      </c>
      <c r="K11" s="78" t="str">
        <f>IFERROR(G18,"50")&amp;" years"</f>
        <v>36 years</v>
      </c>
      <c r="M11" s="74"/>
    </row>
    <row r="12" spans="1:17" s="72" customFormat="1" ht="20.25" customHeight="1">
      <c r="B12" s="74"/>
    </row>
    <row r="13" spans="1:17" s="72" customFormat="1" ht="20.25" customHeight="1"/>
    <row r="14" spans="1:17" s="72" customFormat="1" ht="20.25" customHeight="1"/>
    <row r="15" spans="1:17" s="72" customFormat="1" ht="20.25" customHeight="1"/>
    <row r="16" spans="1:17" s="72" customFormat="1" ht="20.25" customHeight="1"/>
    <row r="17" spans="2:15" s="72" customFormat="1" ht="20.25" customHeight="1">
      <c r="O17" s="81"/>
    </row>
    <row r="18" spans="2:15" s="72" customFormat="1" ht="20.25" hidden="1" customHeight="1">
      <c r="G18" s="82">
        <f t="array" ref="G18">INDEX(B20:F69,MATCH(-1,SIGN(F20:F69),0),1)</f>
        <v>36</v>
      </c>
      <c r="O18" s="81"/>
    </row>
    <row r="19" spans="2:15" hidden="1">
      <c r="B19" s="87" t="s">
        <v>32</v>
      </c>
      <c r="C19" s="88" t="s">
        <v>128</v>
      </c>
      <c r="D19" s="88" t="s">
        <v>33</v>
      </c>
      <c r="E19" s="88" t="s">
        <v>34</v>
      </c>
      <c r="F19" s="597" t="s">
        <v>129</v>
      </c>
      <c r="G19" s="597"/>
      <c r="H19" s="83"/>
      <c r="O19" s="84"/>
    </row>
    <row r="20" spans="2:15" hidden="1">
      <c r="B20" s="89">
        <v>1</v>
      </c>
      <c r="C20" s="90">
        <f>J10</f>
        <v>26109437.378766872</v>
      </c>
      <c r="D20" s="91">
        <f>(O2*(1+O3)^(G2-C2))*12</f>
        <v>1292530.9371680706</v>
      </c>
      <c r="E20" s="92">
        <f>C20-D20</f>
        <v>24816906.441598803</v>
      </c>
      <c r="F20" s="596">
        <f t="shared" ref="F20:F51" si="0">E20*(1+$O$7)</f>
        <v>27298597.085758686</v>
      </c>
      <c r="G20" s="596"/>
      <c r="N20" s="72"/>
      <c r="O20" s="81"/>
    </row>
    <row r="21" spans="2:15" hidden="1">
      <c r="B21" s="89">
        <v>2</v>
      </c>
      <c r="C21" s="90">
        <f>F20</f>
        <v>27298597.085758686</v>
      </c>
      <c r="D21" s="91">
        <f t="shared" ref="D21:D52" si="1">D20*(1+$O$3)</f>
        <v>1370082.7933981549</v>
      </c>
      <c r="E21" s="92">
        <f>C21-D21</f>
        <v>25928514.292360529</v>
      </c>
      <c r="F21" s="596">
        <f t="shared" si="0"/>
        <v>28521365.721596584</v>
      </c>
      <c r="G21" s="596"/>
      <c r="N21" s="72"/>
      <c r="O21" s="81"/>
    </row>
    <row r="22" spans="2:15" hidden="1">
      <c r="B22" s="89">
        <v>3</v>
      </c>
      <c r="C22" s="90">
        <f t="shared" ref="C22:C69" si="2">F21</f>
        <v>28521365.721596584</v>
      </c>
      <c r="D22" s="91">
        <f t="shared" si="1"/>
        <v>1452287.7610020442</v>
      </c>
      <c r="E22" s="92">
        <f t="shared" ref="E22:E69" si="3">C22-D22</f>
        <v>27069077.960594539</v>
      </c>
      <c r="F22" s="596">
        <f t="shared" si="0"/>
        <v>29775985.756653994</v>
      </c>
      <c r="G22" s="596"/>
      <c r="N22" s="72"/>
      <c r="O22" s="81"/>
    </row>
    <row r="23" spans="2:15" hidden="1">
      <c r="B23" s="89">
        <v>4</v>
      </c>
      <c r="C23" s="90">
        <f t="shared" si="2"/>
        <v>29775985.756653994</v>
      </c>
      <c r="D23" s="91">
        <f t="shared" si="1"/>
        <v>1539425.0266621669</v>
      </c>
      <c r="E23" s="92">
        <f t="shared" si="3"/>
        <v>28236560.729991827</v>
      </c>
      <c r="F23" s="596">
        <f t="shared" si="0"/>
        <v>31060216.802991014</v>
      </c>
      <c r="G23" s="596"/>
    </row>
    <row r="24" spans="2:15" hidden="1">
      <c r="B24" s="89">
        <v>5</v>
      </c>
      <c r="C24" s="90">
        <f t="shared" si="2"/>
        <v>31060216.802991014</v>
      </c>
      <c r="D24" s="91">
        <f t="shared" si="1"/>
        <v>1631790.5282618969</v>
      </c>
      <c r="E24" s="92">
        <f t="shared" si="3"/>
        <v>29428426.274729118</v>
      </c>
      <c r="F24" s="596">
        <f t="shared" si="0"/>
        <v>32371268.902202033</v>
      </c>
      <c r="G24" s="596"/>
    </row>
    <row r="25" spans="2:15" hidden="1">
      <c r="B25" s="89">
        <v>6</v>
      </c>
      <c r="C25" s="90">
        <f t="shared" si="2"/>
        <v>32371268.902202033</v>
      </c>
      <c r="D25" s="91">
        <f t="shared" si="1"/>
        <v>1729697.9599576108</v>
      </c>
      <c r="E25" s="92">
        <f t="shared" si="3"/>
        <v>30641570.942244422</v>
      </c>
      <c r="F25" s="596">
        <f t="shared" si="0"/>
        <v>33705728.036468863</v>
      </c>
      <c r="G25" s="596"/>
    </row>
    <row r="26" spans="2:15" hidden="1">
      <c r="B26" s="89">
        <v>7</v>
      </c>
      <c r="C26" s="90">
        <f t="shared" si="2"/>
        <v>33705728.036468863</v>
      </c>
      <c r="D26" s="91">
        <f t="shared" si="1"/>
        <v>1833479.8375550676</v>
      </c>
      <c r="E26" s="92">
        <f t="shared" si="3"/>
        <v>31872248.198913798</v>
      </c>
      <c r="F26" s="596">
        <f t="shared" si="0"/>
        <v>35059473.018805183</v>
      </c>
      <c r="G26" s="596"/>
    </row>
    <row r="27" spans="2:15" hidden="1">
      <c r="B27" s="89">
        <v>8</v>
      </c>
      <c r="C27" s="90">
        <f t="shared" si="2"/>
        <v>35059473.018805183</v>
      </c>
      <c r="D27" s="91">
        <f t="shared" si="1"/>
        <v>1943488.6278083718</v>
      </c>
      <c r="E27" s="92">
        <f t="shared" si="3"/>
        <v>33115984.39099681</v>
      </c>
      <c r="F27" s="596">
        <f t="shared" si="0"/>
        <v>36427582.830096491</v>
      </c>
      <c r="G27" s="596"/>
    </row>
    <row r="28" spans="2:15" hidden="1">
      <c r="B28" s="89">
        <v>9</v>
      </c>
      <c r="C28" s="90">
        <f t="shared" si="2"/>
        <v>36427582.830096491</v>
      </c>
      <c r="D28" s="91">
        <f t="shared" si="1"/>
        <v>2060097.9454768742</v>
      </c>
      <c r="E28" s="92">
        <f t="shared" si="3"/>
        <v>34367484.884619616</v>
      </c>
      <c r="F28" s="596">
        <f t="shared" si="0"/>
        <v>37804233.37308158</v>
      </c>
      <c r="G28" s="596"/>
    </row>
    <row r="29" spans="2:15" hidden="1">
      <c r="B29" s="89">
        <v>10</v>
      </c>
      <c r="C29" s="90">
        <f t="shared" si="2"/>
        <v>37804233.37308158</v>
      </c>
      <c r="D29" s="91">
        <f t="shared" si="1"/>
        <v>2183703.8222054867</v>
      </c>
      <c r="E29" s="92">
        <f t="shared" si="3"/>
        <v>35620529.550876096</v>
      </c>
      <c r="F29" s="596">
        <f t="shared" si="0"/>
        <v>39182582.505963705</v>
      </c>
      <c r="G29" s="596"/>
    </row>
    <row r="30" spans="2:15" hidden="1">
      <c r="B30" s="89">
        <v>11</v>
      </c>
      <c r="C30" s="90">
        <f t="shared" si="2"/>
        <v>39182582.505963705</v>
      </c>
      <c r="D30" s="91">
        <f t="shared" si="1"/>
        <v>2314726.0515378159</v>
      </c>
      <c r="E30" s="92">
        <f t="shared" si="3"/>
        <v>36867856.454425886</v>
      </c>
      <c r="F30" s="596">
        <f t="shared" si="0"/>
        <v>40554642.099868476</v>
      </c>
      <c r="G30" s="596"/>
    </row>
    <row r="31" spans="2:15" hidden="1">
      <c r="B31" s="89">
        <v>12</v>
      </c>
      <c r="C31" s="90">
        <f t="shared" si="2"/>
        <v>40554642.099868476</v>
      </c>
      <c r="D31" s="91">
        <f t="shared" si="1"/>
        <v>2453609.614630085</v>
      </c>
      <c r="E31" s="92">
        <f t="shared" si="3"/>
        <v>38101032.485238388</v>
      </c>
      <c r="F31" s="596">
        <f t="shared" si="0"/>
        <v>41911135.733762227</v>
      </c>
      <c r="G31" s="596"/>
    </row>
    <row r="32" spans="2:15" hidden="1">
      <c r="B32" s="89">
        <v>13</v>
      </c>
      <c r="C32" s="90">
        <f t="shared" si="2"/>
        <v>41911135.733762227</v>
      </c>
      <c r="D32" s="91">
        <f t="shared" si="1"/>
        <v>2600826.1915078904</v>
      </c>
      <c r="E32" s="92">
        <f t="shared" si="3"/>
        <v>39310309.542254336</v>
      </c>
      <c r="F32" s="596">
        <f t="shared" si="0"/>
        <v>43241340.496479772</v>
      </c>
      <c r="G32" s="596"/>
    </row>
    <row r="33" spans="2:7" hidden="1">
      <c r="B33" s="89">
        <v>14</v>
      </c>
      <c r="C33" s="90">
        <f t="shared" si="2"/>
        <v>43241340.496479772</v>
      </c>
      <c r="D33" s="91">
        <f t="shared" si="1"/>
        <v>2756875.7629983639</v>
      </c>
      <c r="E33" s="92">
        <f t="shared" si="3"/>
        <v>40484464.733481407</v>
      </c>
      <c r="F33" s="596">
        <f t="shared" si="0"/>
        <v>44532911.206829548</v>
      </c>
      <c r="G33" s="596"/>
    </row>
    <row r="34" spans="2:7" hidden="1">
      <c r="B34" s="89">
        <v>15</v>
      </c>
      <c r="C34" s="90">
        <f t="shared" si="2"/>
        <v>44532911.206829548</v>
      </c>
      <c r="D34" s="91">
        <f t="shared" si="1"/>
        <v>2922288.308778266</v>
      </c>
      <c r="E34" s="92">
        <f t="shared" si="3"/>
        <v>41610622.898051284</v>
      </c>
      <c r="F34" s="596">
        <f t="shared" si="0"/>
        <v>45771685.187856413</v>
      </c>
      <c r="G34" s="596"/>
    </row>
    <row r="35" spans="2:7" hidden="1">
      <c r="B35" s="89">
        <v>16</v>
      </c>
      <c r="C35" s="90">
        <f t="shared" si="2"/>
        <v>45771685.187856413</v>
      </c>
      <c r="D35" s="91">
        <f t="shared" si="1"/>
        <v>3097625.6073049619</v>
      </c>
      <c r="E35" s="92">
        <f t="shared" si="3"/>
        <v>42674059.580551453</v>
      </c>
      <c r="F35" s="596">
        <f t="shared" si="0"/>
        <v>46941465.538606599</v>
      </c>
      <c r="G35" s="596"/>
    </row>
    <row r="36" spans="2:7" hidden="1">
      <c r="B36" s="89">
        <v>17</v>
      </c>
      <c r="C36" s="90">
        <f t="shared" si="2"/>
        <v>46941465.538606599</v>
      </c>
      <c r="D36" s="91">
        <f t="shared" si="1"/>
        <v>3283483.1437432598</v>
      </c>
      <c r="E36" s="92">
        <f t="shared" si="3"/>
        <v>43657982.394863337</v>
      </c>
      <c r="F36" s="596">
        <f t="shared" si="0"/>
        <v>48023780.634349674</v>
      </c>
      <c r="G36" s="596"/>
    </row>
    <row r="37" spans="2:7" hidden="1">
      <c r="B37" s="89">
        <v>18</v>
      </c>
      <c r="C37" s="90">
        <f t="shared" si="2"/>
        <v>48023780.634349674</v>
      </c>
      <c r="D37" s="91">
        <f t="shared" si="1"/>
        <v>3480492.1323678554</v>
      </c>
      <c r="E37" s="92">
        <f t="shared" si="3"/>
        <v>44543288.501981817</v>
      </c>
      <c r="F37" s="596">
        <f t="shared" si="0"/>
        <v>48997617.352180004</v>
      </c>
      <c r="G37" s="596"/>
    </row>
    <row r="38" spans="2:7" hidden="1">
      <c r="B38" s="89">
        <v>19</v>
      </c>
      <c r="C38" s="90">
        <f t="shared" si="2"/>
        <v>48997617.352180004</v>
      </c>
      <c r="D38" s="91">
        <f t="shared" si="1"/>
        <v>3689321.6603099271</v>
      </c>
      <c r="E38" s="92">
        <f t="shared" si="3"/>
        <v>45308295.691870078</v>
      </c>
      <c r="F38" s="596">
        <f t="shared" si="0"/>
        <v>49839125.261057094</v>
      </c>
      <c r="G38" s="596"/>
    </row>
    <row r="39" spans="2:7" hidden="1">
      <c r="B39" s="89">
        <v>20</v>
      </c>
      <c r="C39" s="90">
        <f t="shared" si="2"/>
        <v>49839125.261057094</v>
      </c>
      <c r="D39" s="91">
        <f t="shared" si="1"/>
        <v>3910680.9599285228</v>
      </c>
      <c r="E39" s="92">
        <f t="shared" si="3"/>
        <v>45928444.301128574</v>
      </c>
      <c r="F39" s="596">
        <f t="shared" si="0"/>
        <v>50521288.731241435</v>
      </c>
      <c r="G39" s="596"/>
    </row>
    <row r="40" spans="2:7" hidden="1">
      <c r="B40" s="89">
        <v>21</v>
      </c>
      <c r="C40" s="90">
        <f t="shared" si="2"/>
        <v>50521288.731241435</v>
      </c>
      <c r="D40" s="91">
        <f t="shared" si="1"/>
        <v>4145321.8175242343</v>
      </c>
      <c r="E40" s="92">
        <f t="shared" si="3"/>
        <v>46375966.913717203</v>
      </c>
      <c r="F40" s="596">
        <f t="shared" si="0"/>
        <v>51013563.605088927</v>
      </c>
      <c r="G40" s="596"/>
    </row>
    <row r="41" spans="2:7" hidden="1">
      <c r="B41" s="89">
        <v>22</v>
      </c>
      <c r="C41" s="90">
        <f t="shared" si="2"/>
        <v>51013563.605088927</v>
      </c>
      <c r="D41" s="91">
        <f t="shared" si="1"/>
        <v>4394041.1265756888</v>
      </c>
      <c r="E41" s="92">
        <f t="shared" si="3"/>
        <v>46619522.478513241</v>
      </c>
      <c r="F41" s="596">
        <f t="shared" si="0"/>
        <v>51281474.726364568</v>
      </c>
      <c r="G41" s="596"/>
    </row>
    <row r="42" spans="2:7" hidden="1">
      <c r="B42" s="89">
        <v>23</v>
      </c>
      <c r="C42" s="90">
        <f t="shared" si="2"/>
        <v>51281474.726364568</v>
      </c>
      <c r="D42" s="91">
        <f t="shared" si="1"/>
        <v>4657683.5941702304</v>
      </c>
      <c r="E42" s="92">
        <f t="shared" si="3"/>
        <v>46623791.13219434</v>
      </c>
      <c r="F42" s="596">
        <f t="shared" si="0"/>
        <v>51286170.24541378</v>
      </c>
      <c r="G42" s="596"/>
    </row>
    <row r="43" spans="2:7" hidden="1">
      <c r="B43" s="89">
        <v>24</v>
      </c>
      <c r="C43" s="90">
        <f t="shared" si="2"/>
        <v>51286170.24541378</v>
      </c>
      <c r="D43" s="91">
        <f t="shared" si="1"/>
        <v>4937144.6098204441</v>
      </c>
      <c r="E43" s="92">
        <f t="shared" si="3"/>
        <v>46349025.63559334</v>
      </c>
      <c r="F43" s="596">
        <f t="shared" si="0"/>
        <v>50983928.199152678</v>
      </c>
      <c r="G43" s="596"/>
    </row>
    <row r="44" spans="2:7" hidden="1">
      <c r="B44" s="89">
        <v>25</v>
      </c>
      <c r="C44" s="90">
        <f t="shared" si="2"/>
        <v>50983928.199152678</v>
      </c>
      <c r="D44" s="91">
        <f t="shared" si="1"/>
        <v>5233373.2864096714</v>
      </c>
      <c r="E44" s="92">
        <f t="shared" si="3"/>
        <v>45750554.91274301</v>
      </c>
      <c r="F44" s="596">
        <f t="shared" si="0"/>
        <v>50325610.404017314</v>
      </c>
      <c r="G44" s="596"/>
    </row>
    <row r="45" spans="2:7" hidden="1">
      <c r="B45" s="89">
        <v>26</v>
      </c>
      <c r="C45" s="90">
        <f t="shared" si="2"/>
        <v>50325610.404017314</v>
      </c>
      <c r="D45" s="91">
        <f t="shared" si="1"/>
        <v>5547375.683594252</v>
      </c>
      <c r="E45" s="92">
        <f t="shared" si="3"/>
        <v>44778234.720423065</v>
      </c>
      <c r="F45" s="596">
        <f t="shared" si="0"/>
        <v>49256058.192465372</v>
      </c>
      <c r="G45" s="596"/>
    </row>
    <row r="46" spans="2:7" hidden="1">
      <c r="B46" s="89">
        <v>27</v>
      </c>
      <c r="C46" s="90">
        <f t="shared" si="2"/>
        <v>49256058.192465372</v>
      </c>
      <c r="D46" s="91">
        <f t="shared" si="1"/>
        <v>5880218.2246099077</v>
      </c>
      <c r="E46" s="92">
        <f t="shared" si="3"/>
        <v>43375839.967855468</v>
      </c>
      <c r="F46" s="596">
        <f t="shared" si="0"/>
        <v>47713423.96464102</v>
      </c>
      <c r="G46" s="596"/>
    </row>
    <row r="47" spans="2:7" hidden="1">
      <c r="B47" s="89">
        <v>28</v>
      </c>
      <c r="C47" s="90">
        <f t="shared" si="2"/>
        <v>47713423.96464102</v>
      </c>
      <c r="D47" s="91">
        <f t="shared" si="1"/>
        <v>6233031.3180865021</v>
      </c>
      <c r="E47" s="92">
        <f t="shared" si="3"/>
        <v>41480392.646554515</v>
      </c>
      <c r="F47" s="596">
        <f t="shared" si="0"/>
        <v>45628431.911209971</v>
      </c>
      <c r="G47" s="596"/>
    </row>
    <row r="48" spans="2:7" hidden="1">
      <c r="B48" s="89">
        <v>29</v>
      </c>
      <c r="C48" s="90">
        <f t="shared" si="2"/>
        <v>45628431.911209971</v>
      </c>
      <c r="D48" s="91">
        <f t="shared" si="1"/>
        <v>6607013.1971716927</v>
      </c>
      <c r="E48" s="92">
        <f t="shared" si="3"/>
        <v>39021418.714038275</v>
      </c>
      <c r="F48" s="596">
        <f t="shared" si="0"/>
        <v>42923560.585442103</v>
      </c>
      <c r="G48" s="596"/>
    </row>
    <row r="49" spans="2:7" hidden="1">
      <c r="B49" s="89">
        <v>30</v>
      </c>
      <c r="C49" s="90">
        <f t="shared" si="2"/>
        <v>42923560.585442103</v>
      </c>
      <c r="D49" s="91">
        <f t="shared" si="1"/>
        <v>7003433.989001995</v>
      </c>
      <c r="E49" s="92">
        <f t="shared" si="3"/>
        <v>35920126.596440107</v>
      </c>
      <c r="F49" s="596">
        <f t="shared" si="0"/>
        <v>39512139.256084122</v>
      </c>
      <c r="G49" s="596"/>
    </row>
    <row r="50" spans="2:7" hidden="1">
      <c r="B50" s="89">
        <v>31</v>
      </c>
      <c r="C50" s="90">
        <f t="shared" si="2"/>
        <v>39512139.256084122</v>
      </c>
      <c r="D50" s="91">
        <f t="shared" si="1"/>
        <v>7423640.0283421148</v>
      </c>
      <c r="E50" s="92">
        <f t="shared" si="3"/>
        <v>32088499.227742009</v>
      </c>
      <c r="F50" s="596">
        <f t="shared" si="0"/>
        <v>35297349.150516212</v>
      </c>
      <c r="G50" s="596"/>
    </row>
    <row r="51" spans="2:7" hidden="1">
      <c r="B51" s="89">
        <v>32</v>
      </c>
      <c r="C51" s="90">
        <f t="shared" si="2"/>
        <v>35297349.150516212</v>
      </c>
      <c r="D51" s="91">
        <f t="shared" si="1"/>
        <v>7869058.4300426422</v>
      </c>
      <c r="E51" s="92">
        <f t="shared" si="3"/>
        <v>27428290.720473569</v>
      </c>
      <c r="F51" s="596">
        <f t="shared" si="0"/>
        <v>30171119.792520929</v>
      </c>
      <c r="G51" s="596"/>
    </row>
    <row r="52" spans="2:7" hidden="1">
      <c r="B52" s="89">
        <v>33</v>
      </c>
      <c r="C52" s="90">
        <f t="shared" si="2"/>
        <v>30171119.792520929</v>
      </c>
      <c r="D52" s="91">
        <f t="shared" si="1"/>
        <v>8341201.9358452009</v>
      </c>
      <c r="E52" s="92">
        <f t="shared" si="3"/>
        <v>21829917.856675729</v>
      </c>
      <c r="F52" s="596">
        <f t="shared" ref="F52:F69" si="4">E52*(1+$O$7)</f>
        <v>24012909.642343305</v>
      </c>
      <c r="G52" s="596"/>
    </row>
    <row r="53" spans="2:7" hidden="1">
      <c r="B53" s="89">
        <v>34</v>
      </c>
      <c r="C53" s="90">
        <f t="shared" si="2"/>
        <v>24012909.642343305</v>
      </c>
      <c r="D53" s="91">
        <f t="shared" ref="D53:D69" si="5">D52*(1+$O$3)</f>
        <v>8841674.0519959126</v>
      </c>
      <c r="E53" s="92">
        <f t="shared" si="3"/>
        <v>15171235.590347392</v>
      </c>
      <c r="F53" s="596">
        <f t="shared" si="4"/>
        <v>16688359.149382133</v>
      </c>
      <c r="G53" s="596"/>
    </row>
    <row r="54" spans="2:7" hidden="1">
      <c r="B54" s="89">
        <v>35</v>
      </c>
      <c r="C54" s="90">
        <f t="shared" si="2"/>
        <v>16688359.149382133</v>
      </c>
      <c r="D54" s="91">
        <f t="shared" si="5"/>
        <v>9372174.4951156676</v>
      </c>
      <c r="E54" s="92">
        <f t="shared" si="3"/>
        <v>7316184.6542664655</v>
      </c>
      <c r="F54" s="596">
        <f t="shared" si="4"/>
        <v>8047803.1196931126</v>
      </c>
      <c r="G54" s="596"/>
    </row>
    <row r="55" spans="2:7" hidden="1">
      <c r="B55" s="89">
        <v>36</v>
      </c>
      <c r="C55" s="90">
        <f t="shared" si="2"/>
        <v>8047803.1196931126</v>
      </c>
      <c r="D55" s="91">
        <f t="shared" si="5"/>
        <v>9934504.964822609</v>
      </c>
      <c r="E55" s="92">
        <f t="shared" si="3"/>
        <v>-1886701.8451294964</v>
      </c>
      <c r="F55" s="596">
        <f t="shared" si="4"/>
        <v>-2075372.0296424462</v>
      </c>
      <c r="G55" s="596"/>
    </row>
    <row r="56" spans="2:7" hidden="1">
      <c r="B56" s="89">
        <v>37</v>
      </c>
      <c r="C56" s="90">
        <f t="shared" si="2"/>
        <v>-2075372.0296424462</v>
      </c>
      <c r="D56" s="91">
        <f t="shared" si="5"/>
        <v>10530575.262711966</v>
      </c>
      <c r="E56" s="92">
        <f t="shared" si="3"/>
        <v>-12605947.292354412</v>
      </c>
      <c r="F56" s="596">
        <f t="shared" si="4"/>
        <v>-13866542.021589855</v>
      </c>
      <c r="G56" s="596"/>
    </row>
    <row r="57" spans="2:7" hidden="1">
      <c r="B57" s="89">
        <v>38</v>
      </c>
      <c r="C57" s="90">
        <f t="shared" si="2"/>
        <v>-13866542.021589855</v>
      </c>
      <c r="D57" s="91">
        <f t="shared" si="5"/>
        <v>11162409.778474685</v>
      </c>
      <c r="E57" s="92">
        <f t="shared" si="3"/>
        <v>-25028951.800064541</v>
      </c>
      <c r="F57" s="596">
        <f t="shared" si="4"/>
        <v>-27531846.980070997</v>
      </c>
      <c r="G57" s="596"/>
    </row>
    <row r="58" spans="2:7" hidden="1">
      <c r="B58" s="89">
        <v>39</v>
      </c>
      <c r="C58" s="90">
        <f t="shared" si="2"/>
        <v>-27531846.980070997</v>
      </c>
      <c r="D58" s="91">
        <f t="shared" si="5"/>
        <v>11832154.365183167</v>
      </c>
      <c r="E58" s="92">
        <f t="shared" si="3"/>
        <v>-39364001.345254168</v>
      </c>
      <c r="F58" s="596">
        <f t="shared" si="4"/>
        <v>-43300401.479779586</v>
      </c>
      <c r="G58" s="596"/>
    </row>
    <row r="59" spans="2:7" hidden="1">
      <c r="B59" s="89">
        <v>40</v>
      </c>
      <c r="C59" s="90">
        <f t="shared" si="2"/>
        <v>-43300401.479779586</v>
      </c>
      <c r="D59" s="91">
        <f t="shared" si="5"/>
        <v>12542083.627094157</v>
      </c>
      <c r="E59" s="92">
        <f t="shared" si="3"/>
        <v>-55842485.106873743</v>
      </c>
      <c r="F59" s="596">
        <f t="shared" si="4"/>
        <v>-61426733.617561124</v>
      </c>
      <c r="G59" s="596"/>
    </row>
    <row r="60" spans="2:7" hidden="1">
      <c r="B60" s="89">
        <v>41</v>
      </c>
      <c r="C60" s="90">
        <f t="shared" si="2"/>
        <v>-61426733.617561124</v>
      </c>
      <c r="D60" s="91">
        <f t="shared" si="5"/>
        <v>13294608.644719807</v>
      </c>
      <c r="E60" s="92">
        <f t="shared" si="3"/>
        <v>-74721342.262280926</v>
      </c>
      <c r="F60" s="596">
        <f t="shared" si="4"/>
        <v>-82193476.488509029</v>
      </c>
      <c r="G60" s="596"/>
    </row>
    <row r="61" spans="2:7" hidden="1">
      <c r="B61" s="89">
        <v>42</v>
      </c>
      <c r="C61" s="90">
        <f t="shared" si="2"/>
        <v>-82193476.488509029</v>
      </c>
      <c r="D61" s="91">
        <f t="shared" si="5"/>
        <v>14092285.163402997</v>
      </c>
      <c r="E61" s="92">
        <f t="shared" si="3"/>
        <v>-96285761.651912034</v>
      </c>
      <c r="F61" s="596">
        <f t="shared" si="4"/>
        <v>-105914337.81710325</v>
      </c>
      <c r="G61" s="596"/>
    </row>
    <row r="62" spans="2:7" hidden="1">
      <c r="B62" s="89">
        <v>43</v>
      </c>
      <c r="C62" s="90">
        <f t="shared" si="2"/>
        <v>-105914337.81710325</v>
      </c>
      <c r="D62" s="91">
        <f t="shared" si="5"/>
        <v>14937822.273207178</v>
      </c>
      <c r="E62" s="92">
        <f t="shared" si="3"/>
        <v>-120852160.09031042</v>
      </c>
      <c r="F62" s="596">
        <f t="shared" si="4"/>
        <v>-132937376.09934148</v>
      </c>
      <c r="G62" s="596"/>
    </row>
    <row r="63" spans="2:7" hidden="1">
      <c r="B63" s="89">
        <v>44</v>
      </c>
      <c r="C63" s="90">
        <f t="shared" si="2"/>
        <v>-132937376.09934148</v>
      </c>
      <c r="D63" s="91">
        <f t="shared" si="5"/>
        <v>15834091.609599609</v>
      </c>
      <c r="E63" s="92">
        <f t="shared" si="3"/>
        <v>-148771467.7089411</v>
      </c>
      <c r="F63" s="596">
        <f t="shared" si="4"/>
        <v>-163648614.47983521</v>
      </c>
      <c r="G63" s="596"/>
    </row>
    <row r="64" spans="2:7" hidden="1">
      <c r="B64" s="89">
        <v>45</v>
      </c>
      <c r="C64" s="90">
        <f t="shared" si="2"/>
        <v>-163648614.47983521</v>
      </c>
      <c r="D64" s="91">
        <f t="shared" si="5"/>
        <v>16784137.106175587</v>
      </c>
      <c r="E64" s="92">
        <f t="shared" si="3"/>
        <v>-180432751.58601081</v>
      </c>
      <c r="F64" s="596">
        <f t="shared" si="4"/>
        <v>-198476026.74461192</v>
      </c>
      <c r="G64" s="596"/>
    </row>
    <row r="65" spans="2:7" hidden="1">
      <c r="B65" s="89">
        <v>46</v>
      </c>
      <c r="C65" s="90">
        <f t="shared" si="2"/>
        <v>-198476026.74461192</v>
      </c>
      <c r="D65" s="91">
        <f t="shared" si="5"/>
        <v>17791185.332546122</v>
      </c>
      <c r="E65" s="92">
        <f t="shared" si="3"/>
        <v>-216267212.07715803</v>
      </c>
      <c r="F65" s="596">
        <f t="shared" si="4"/>
        <v>-237893933.28487384</v>
      </c>
      <c r="G65" s="596"/>
    </row>
    <row r="66" spans="2:7" hidden="1">
      <c r="B66" s="89">
        <v>47</v>
      </c>
      <c r="C66" s="90">
        <f t="shared" si="2"/>
        <v>-237893933.28487384</v>
      </c>
      <c r="D66" s="91">
        <f t="shared" si="5"/>
        <v>18858656.45249889</v>
      </c>
      <c r="E66" s="92">
        <f t="shared" si="3"/>
        <v>-256752589.73737273</v>
      </c>
      <c r="F66" s="596">
        <f t="shared" si="4"/>
        <v>-282427848.71111</v>
      </c>
      <c r="G66" s="596"/>
    </row>
    <row r="67" spans="2:7" hidden="1">
      <c r="B67" s="89">
        <v>48</v>
      </c>
      <c r="C67" s="90">
        <f t="shared" si="2"/>
        <v>-282427848.71111</v>
      </c>
      <c r="D67" s="91">
        <f t="shared" si="5"/>
        <v>19990175.839648824</v>
      </c>
      <c r="E67" s="92">
        <f t="shared" si="3"/>
        <v>-302418024.55075884</v>
      </c>
      <c r="F67" s="596">
        <f t="shared" si="4"/>
        <v>-332659827.00583476</v>
      </c>
      <c r="G67" s="596"/>
    </row>
    <row r="68" spans="2:7" hidden="1">
      <c r="B68" s="89">
        <v>49</v>
      </c>
      <c r="C68" s="90">
        <f t="shared" si="2"/>
        <v>-332659827.00583476</v>
      </c>
      <c r="D68" s="91">
        <f t="shared" si="5"/>
        <v>21189586.390027754</v>
      </c>
      <c r="E68" s="92">
        <f t="shared" si="3"/>
        <v>-353849413.39586252</v>
      </c>
      <c r="F68" s="596">
        <f t="shared" si="4"/>
        <v>-389234354.73544878</v>
      </c>
      <c r="G68" s="596"/>
    </row>
    <row r="69" spans="2:7" hidden="1">
      <c r="B69" s="89">
        <v>50</v>
      </c>
      <c r="C69" s="90">
        <f t="shared" si="2"/>
        <v>-389234354.73544878</v>
      </c>
      <c r="D69" s="91">
        <f t="shared" si="5"/>
        <v>22460961.573429421</v>
      </c>
      <c r="E69" s="92">
        <f t="shared" si="3"/>
        <v>-411695316.30887818</v>
      </c>
      <c r="F69" s="596">
        <f t="shared" si="4"/>
        <v>-452864847.93976605</v>
      </c>
      <c r="G69" s="596"/>
    </row>
  </sheetData>
  <mergeCells count="59">
    <mergeCell ref="J10:L10"/>
    <mergeCell ref="D2:F2"/>
    <mergeCell ref="O2:P2"/>
    <mergeCell ref="O7:P7"/>
    <mergeCell ref="O4:P4"/>
    <mergeCell ref="O3:P3"/>
    <mergeCell ref="F19:G19"/>
    <mergeCell ref="F20:G20"/>
    <mergeCell ref="F21:G21"/>
    <mergeCell ref="F22:G22"/>
    <mergeCell ref="F23:G23"/>
    <mergeCell ref="F24:G24"/>
    <mergeCell ref="F25:G25"/>
    <mergeCell ref="F26:G26"/>
    <mergeCell ref="F27:G27"/>
    <mergeCell ref="F28:G28"/>
    <mergeCell ref="F37:G37"/>
    <mergeCell ref="F38:G38"/>
    <mergeCell ref="F29:G29"/>
    <mergeCell ref="F30:G30"/>
    <mergeCell ref="F31:G31"/>
    <mergeCell ref="F32:G32"/>
    <mergeCell ref="F33:G33"/>
    <mergeCell ref="F59:G59"/>
    <mergeCell ref="F58:G58"/>
    <mergeCell ref="F57:G57"/>
    <mergeCell ref="F56:G56"/>
    <mergeCell ref="F55:G55"/>
    <mergeCell ref="F64:G64"/>
    <mergeCell ref="F63:G63"/>
    <mergeCell ref="F62:G62"/>
    <mergeCell ref="F61:G61"/>
    <mergeCell ref="F60:G60"/>
    <mergeCell ref="F69:G69"/>
    <mergeCell ref="F68:G68"/>
    <mergeCell ref="F67:G67"/>
    <mergeCell ref="F66:G66"/>
    <mergeCell ref="F65:G65"/>
    <mergeCell ref="F54:G54"/>
    <mergeCell ref="F53:G53"/>
    <mergeCell ref="F52:G52"/>
    <mergeCell ref="F51:G51"/>
    <mergeCell ref="F50:G50"/>
    <mergeCell ref="B1:G1"/>
    <mergeCell ref="I1:P1"/>
    <mergeCell ref="F49:G49"/>
    <mergeCell ref="F48:G48"/>
    <mergeCell ref="F47:G47"/>
    <mergeCell ref="F46:G46"/>
    <mergeCell ref="F45:G45"/>
    <mergeCell ref="F44:G44"/>
    <mergeCell ref="F39:G39"/>
    <mergeCell ref="F40:G40"/>
    <mergeCell ref="F41:G41"/>
    <mergeCell ref="F42:G42"/>
    <mergeCell ref="F43:G43"/>
    <mergeCell ref="F34:G34"/>
    <mergeCell ref="F35:G35"/>
    <mergeCell ref="F36:G36"/>
  </mergeCells>
  <pageMargins left="0.7" right="0.7" top="0.75" bottom="0.75" header="0.3" footer="0.3"/>
  <pageSetup scale="74" orientation="landscape"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S52"/>
  <sheetViews>
    <sheetView showGridLines="0" workbookViewId="0">
      <selection sqref="A1:D1"/>
    </sheetView>
  </sheetViews>
  <sheetFormatPr defaultColWidth="8.85546875" defaultRowHeight="15"/>
  <cols>
    <col min="1" max="1" width="6.140625" style="377" bestFit="1" customWidth="1"/>
    <col min="2" max="2" width="4.7109375" style="377" bestFit="1" customWidth="1"/>
    <col min="3" max="3" width="14.28515625" style="377" bestFit="1" customWidth="1"/>
    <col min="4" max="4" width="13.42578125" style="420" bestFit="1" customWidth="1"/>
    <col min="5" max="5" width="12.140625" style="420" bestFit="1" customWidth="1"/>
    <col min="6" max="6" width="14.28515625" style="377" bestFit="1" customWidth="1"/>
    <col min="7" max="10" width="14.28515625" style="377" hidden="1" customWidth="1"/>
    <col min="11" max="11" width="14.28515625" style="377" customWidth="1"/>
    <col min="12" max="12" width="12.140625" style="427" customWidth="1"/>
    <col min="13" max="13" width="14.28515625" style="377" bestFit="1" customWidth="1"/>
    <col min="14" max="14" width="3.140625" style="377" customWidth="1"/>
    <col min="15" max="15" width="11.28515625" style="377" customWidth="1"/>
    <col min="16" max="16" width="12.7109375" style="377" bestFit="1" customWidth="1"/>
    <col min="17" max="17" width="15.28515625" style="377" customWidth="1"/>
    <col min="18" max="18" width="8.85546875" style="377"/>
    <col min="19" max="19" width="0" style="377" hidden="1" customWidth="1"/>
    <col min="20" max="20" width="8.85546875" style="377"/>
    <col min="21" max="21" width="11.28515625" style="377" customWidth="1"/>
    <col min="22" max="16384" width="8.85546875" style="377"/>
  </cols>
  <sheetData>
    <row r="1" spans="1:19" s="405" customFormat="1" ht="18" customHeight="1" thickBot="1">
      <c r="A1" s="620" t="s">
        <v>377</v>
      </c>
      <c r="B1" s="620"/>
      <c r="C1" s="620"/>
      <c r="D1" s="620"/>
      <c r="E1" s="404"/>
      <c r="F1" s="621" t="s">
        <v>341</v>
      </c>
      <c r="G1" s="622"/>
      <c r="H1" s="623"/>
      <c r="I1" s="452"/>
      <c r="J1" s="452"/>
      <c r="K1" s="624" t="s">
        <v>342</v>
      </c>
      <c r="L1" s="624"/>
      <c r="M1" s="624"/>
      <c r="N1" s="624"/>
      <c r="O1" s="624"/>
      <c r="P1" s="453" t="s">
        <v>343</v>
      </c>
      <c r="Q1" s="452" t="s">
        <v>294</v>
      </c>
      <c r="R1" s="453" t="s">
        <v>204</v>
      </c>
    </row>
    <row r="2" spans="1:19" s="405" customFormat="1" ht="18" customHeight="1" thickBot="1">
      <c r="A2" s="625" t="s">
        <v>344</v>
      </c>
      <c r="B2" s="625"/>
      <c r="C2" s="625"/>
      <c r="D2" s="445">
        <v>25000</v>
      </c>
      <c r="E2" s="404"/>
      <c r="F2" s="626" t="s">
        <v>345</v>
      </c>
      <c r="G2" s="626"/>
      <c r="H2" s="626"/>
      <c r="I2" s="406"/>
      <c r="J2" s="406"/>
      <c r="K2" s="613" t="s">
        <v>346</v>
      </c>
      <c r="L2" s="614"/>
      <c r="M2" s="614"/>
      <c r="N2" s="614"/>
      <c r="O2" s="615"/>
      <c r="P2" s="448">
        <v>0.2</v>
      </c>
      <c r="Q2" s="407">
        <f>P2*D4</f>
        <v>1000000</v>
      </c>
      <c r="R2" s="450">
        <v>7.0000000000000007E-2</v>
      </c>
      <c r="S2" s="408">
        <f>P2*R2</f>
        <v>1.4000000000000002E-2</v>
      </c>
    </row>
    <row r="3" spans="1:19" s="405" customFormat="1" ht="18" customHeight="1" thickBot="1">
      <c r="A3" s="609" t="s">
        <v>4</v>
      </c>
      <c r="B3" s="610"/>
      <c r="C3" s="611"/>
      <c r="D3" s="446">
        <v>7.0000000000000007E-2</v>
      </c>
      <c r="E3" s="404"/>
      <c r="F3" s="612" t="s">
        <v>347</v>
      </c>
      <c r="G3" s="612"/>
      <c r="H3" s="612"/>
      <c r="I3" s="409"/>
      <c r="J3" s="409"/>
      <c r="K3" s="613" t="s">
        <v>348</v>
      </c>
      <c r="L3" s="614"/>
      <c r="M3" s="614"/>
      <c r="N3" s="614"/>
      <c r="O3" s="615"/>
      <c r="P3" s="448">
        <v>0.2</v>
      </c>
      <c r="Q3" s="410">
        <f>P3*D4</f>
        <v>1000000</v>
      </c>
      <c r="R3" s="450">
        <v>0.08</v>
      </c>
      <c r="S3" s="411">
        <f t="shared" ref="S3:S4" si="0">P3*R3</f>
        <v>1.6E-2</v>
      </c>
    </row>
    <row r="4" spans="1:19" s="405" customFormat="1" ht="18" customHeight="1" thickBot="1">
      <c r="A4" s="605" t="s">
        <v>349</v>
      </c>
      <c r="B4" s="606"/>
      <c r="C4" s="607"/>
      <c r="D4" s="445">
        <v>5000000</v>
      </c>
      <c r="E4" s="404"/>
      <c r="F4" s="616" t="s">
        <v>350</v>
      </c>
      <c r="G4" s="616"/>
      <c r="H4" s="616"/>
      <c r="I4" s="412"/>
      <c r="J4" s="412"/>
      <c r="K4" s="617" t="s">
        <v>351</v>
      </c>
      <c r="L4" s="618"/>
      <c r="M4" s="618"/>
      <c r="N4" s="618"/>
      <c r="O4" s="619"/>
      <c r="P4" s="449">
        <v>0.6</v>
      </c>
      <c r="Q4" s="433">
        <f>P4*D4</f>
        <v>3000000</v>
      </c>
      <c r="R4" s="451">
        <v>0.12</v>
      </c>
      <c r="S4" s="413">
        <f t="shared" si="0"/>
        <v>7.1999999999999995E-2</v>
      </c>
    </row>
    <row r="5" spans="1:19" s="405" customFormat="1" ht="18" customHeight="1" thickBot="1">
      <c r="A5" s="605" t="s">
        <v>352</v>
      </c>
      <c r="B5" s="606"/>
      <c r="C5" s="607"/>
      <c r="D5" s="447">
        <v>55</v>
      </c>
      <c r="E5" s="404"/>
      <c r="L5" s="414"/>
      <c r="P5" s="608" t="s">
        <v>353</v>
      </c>
      <c r="Q5" s="608"/>
      <c r="R5" s="455">
        <f>SUM(S2:S4)</f>
        <v>0.10199999999999999</v>
      </c>
    </row>
    <row r="6" spans="1:19" s="405" customFormat="1" ht="8.25" customHeight="1" thickBot="1">
      <c r="A6" s="415"/>
      <c r="B6" s="415"/>
      <c r="C6" s="415"/>
      <c r="D6" s="416"/>
      <c r="E6" s="404"/>
      <c r="L6" s="414"/>
      <c r="P6" s="417"/>
      <c r="Q6" s="417"/>
      <c r="R6" s="418"/>
    </row>
    <row r="7" spans="1:19" ht="15.75" customHeight="1" thickBot="1">
      <c r="A7" s="419" t="s">
        <v>354</v>
      </c>
      <c r="F7" s="421"/>
      <c r="G7" s="421"/>
      <c r="H7" s="421"/>
      <c r="I7" s="421"/>
      <c r="J7" s="421"/>
      <c r="K7" s="421"/>
      <c r="L7" s="422"/>
      <c r="M7" s="454">
        <f>IF(ISERROR((VLOOKUP(0,G12:J52,4,FALSE)-1)),"&gt; 40 Years",(VLOOKUP(0,G12:J52,4,FALSE)-1))</f>
        <v>22</v>
      </c>
      <c r="N7" s="421"/>
      <c r="O7" s="377" t="s">
        <v>355</v>
      </c>
      <c r="Q7" s="456">
        <f>IFERROR(VLOOKUP(M7,$A$12:$L$52,12,FALSE),VLOOKUP(41,$A$12:$L$252,12,FALSE))</f>
        <v>14701721.747573268</v>
      </c>
    </row>
    <row r="8" spans="1:19" ht="8.25" customHeight="1" thickBot="1">
      <c r="F8" s="421"/>
      <c r="G8" s="421"/>
      <c r="H8" s="421"/>
      <c r="I8" s="421"/>
      <c r="J8" s="421"/>
      <c r="K8" s="421"/>
      <c r="L8" s="422"/>
      <c r="M8" s="421"/>
      <c r="N8" s="421"/>
    </row>
    <row r="9" spans="1:19" ht="15.75" thickBot="1">
      <c r="A9" s="419" t="s">
        <v>356</v>
      </c>
      <c r="F9" s="421"/>
      <c r="G9" s="421"/>
      <c r="H9" s="421"/>
      <c r="I9" s="421"/>
      <c r="J9" s="421"/>
      <c r="K9" s="421"/>
      <c r="L9" s="422"/>
      <c r="M9" s="423">
        <f>IF(ISERROR(VLOOKUP(0,I12:J52,2,FALSE)-1),"&gt; 40 Years",(VLOOKUP(0,I12:J52,2,FALSE)-1))</f>
        <v>10</v>
      </c>
      <c r="N9" s="421"/>
      <c r="O9" s="377" t="s">
        <v>355</v>
      </c>
      <c r="Q9" s="424">
        <f>IFERROR(VLOOKUP(M9,$A$12:$L$52,12,FALSE),VLOOKUP(41,$A$12:$L$252,12,FALSE))</f>
        <v>4144934.3883838523</v>
      </c>
    </row>
    <row r="10" spans="1:19">
      <c r="E10" s="425"/>
      <c r="F10" s="421"/>
      <c r="G10" s="421"/>
      <c r="H10" s="421"/>
      <c r="I10" s="421"/>
      <c r="J10" s="421"/>
      <c r="K10" s="421"/>
      <c r="L10" s="422"/>
      <c r="M10" s="421"/>
      <c r="N10" s="421"/>
      <c r="O10" s="426"/>
    </row>
    <row r="11" spans="1:19" ht="30">
      <c r="A11" s="453" t="s">
        <v>275</v>
      </c>
      <c r="B11" s="453" t="s">
        <v>357</v>
      </c>
      <c r="C11" s="457" t="s">
        <v>358</v>
      </c>
      <c r="D11" s="457" t="s">
        <v>359</v>
      </c>
      <c r="E11" s="457" t="s">
        <v>360</v>
      </c>
      <c r="F11" s="457" t="s">
        <v>361</v>
      </c>
      <c r="G11" s="457" t="s">
        <v>362</v>
      </c>
      <c r="H11" s="457" t="s">
        <v>363</v>
      </c>
      <c r="I11" s="457" t="s">
        <v>362</v>
      </c>
      <c r="J11" s="457" t="s">
        <v>364</v>
      </c>
      <c r="K11" s="457" t="s">
        <v>365</v>
      </c>
    </row>
    <row r="12" spans="1:19">
      <c r="A12" s="428">
        <v>1</v>
      </c>
      <c r="B12" s="360">
        <f>D5</f>
        <v>55</v>
      </c>
      <c r="C12" s="429">
        <f>D4</f>
        <v>5000000</v>
      </c>
      <c r="D12" s="429">
        <f>12*D2</f>
        <v>300000</v>
      </c>
      <c r="E12" s="429">
        <f t="shared" ref="E12:E52" si="1">D12/12</f>
        <v>25000</v>
      </c>
      <c r="F12" s="361">
        <f t="shared" ref="F12:F52" si="2">C12-D12</f>
        <v>4700000</v>
      </c>
      <c r="G12" s="361">
        <f>IF(F12&lt;0,0,1)</f>
        <v>1</v>
      </c>
      <c r="H12" s="361">
        <f t="shared" ref="H12:H52" si="3">F12*$R$5</f>
        <v>479399.99999999994</v>
      </c>
      <c r="I12" s="361">
        <f t="shared" ref="I12:I52" si="4">IF(H12&gt;=D12,1,0)</f>
        <v>1</v>
      </c>
      <c r="J12" s="361">
        <f>A12</f>
        <v>1</v>
      </c>
      <c r="K12" s="429">
        <f t="shared" ref="K12:K52" si="5">FV($R$5,1,,-F12,)</f>
        <v>5179400</v>
      </c>
      <c r="L12" s="430">
        <f>D12</f>
        <v>300000</v>
      </c>
    </row>
    <row r="13" spans="1:19">
      <c r="A13" s="428">
        <v>2</v>
      </c>
      <c r="B13" s="360">
        <f>B12+1</f>
        <v>56</v>
      </c>
      <c r="C13" s="361">
        <f>K12</f>
        <v>5179400</v>
      </c>
      <c r="D13" s="429">
        <f t="shared" ref="D13:D52" si="6">D12*(1+$D$3)</f>
        <v>321000</v>
      </c>
      <c r="E13" s="429">
        <f t="shared" si="1"/>
        <v>26750</v>
      </c>
      <c r="F13" s="361">
        <f t="shared" si="2"/>
        <v>4858400</v>
      </c>
      <c r="G13" s="361">
        <f t="shared" ref="G13:G52" si="7">IF(F13&lt;0,0,1)</f>
        <v>1</v>
      </c>
      <c r="H13" s="361">
        <f t="shared" si="3"/>
        <v>495556.8</v>
      </c>
      <c r="I13" s="361">
        <f t="shared" si="4"/>
        <v>1</v>
      </c>
      <c r="J13" s="361">
        <f t="shared" ref="J13:J52" si="8">A13</f>
        <v>2</v>
      </c>
      <c r="K13" s="429">
        <f t="shared" si="5"/>
        <v>5353956.8000000007</v>
      </c>
      <c r="L13" s="430">
        <f>L12+D13</f>
        <v>621000</v>
      </c>
    </row>
    <row r="14" spans="1:19">
      <c r="A14" s="428">
        <v>3</v>
      </c>
      <c r="B14" s="360">
        <f t="shared" ref="B14:B52" si="9">B13+1</f>
        <v>57</v>
      </c>
      <c r="C14" s="361">
        <f t="shared" ref="C14:C52" si="10">K13</f>
        <v>5353956.8000000007</v>
      </c>
      <c r="D14" s="429">
        <f t="shared" si="6"/>
        <v>343470</v>
      </c>
      <c r="E14" s="429">
        <f t="shared" si="1"/>
        <v>28622.5</v>
      </c>
      <c r="F14" s="361">
        <f t="shared" si="2"/>
        <v>5010486.8000000007</v>
      </c>
      <c r="G14" s="361">
        <f t="shared" si="7"/>
        <v>1</v>
      </c>
      <c r="H14" s="361">
        <f t="shared" si="3"/>
        <v>511069.65360000002</v>
      </c>
      <c r="I14" s="361">
        <f t="shared" si="4"/>
        <v>1</v>
      </c>
      <c r="J14" s="361">
        <f t="shared" si="8"/>
        <v>3</v>
      </c>
      <c r="K14" s="429">
        <f t="shared" si="5"/>
        <v>5521556.4536000015</v>
      </c>
      <c r="L14" s="430">
        <f t="shared" ref="L14:L52" si="11">L13+D14</f>
        <v>964470</v>
      </c>
    </row>
    <row r="15" spans="1:19">
      <c r="A15" s="428">
        <v>4</v>
      </c>
      <c r="B15" s="360">
        <f t="shared" si="9"/>
        <v>58</v>
      </c>
      <c r="C15" s="361">
        <f t="shared" si="10"/>
        <v>5521556.4536000015</v>
      </c>
      <c r="D15" s="429">
        <f t="shared" si="6"/>
        <v>367512.9</v>
      </c>
      <c r="E15" s="429">
        <f t="shared" si="1"/>
        <v>30626.075000000001</v>
      </c>
      <c r="F15" s="361">
        <f t="shared" si="2"/>
        <v>5154043.5536000011</v>
      </c>
      <c r="G15" s="361">
        <f t="shared" si="7"/>
        <v>1</v>
      </c>
      <c r="H15" s="361">
        <f t="shared" si="3"/>
        <v>525712.4424672001</v>
      </c>
      <c r="I15" s="361">
        <f t="shared" si="4"/>
        <v>1</v>
      </c>
      <c r="J15" s="361">
        <f t="shared" si="8"/>
        <v>4</v>
      </c>
      <c r="K15" s="429">
        <f t="shared" si="5"/>
        <v>5679755.9960672017</v>
      </c>
      <c r="L15" s="430">
        <f t="shared" si="11"/>
        <v>1331982.8999999999</v>
      </c>
    </row>
    <row r="16" spans="1:19">
      <c r="A16" s="428">
        <v>5</v>
      </c>
      <c r="B16" s="360">
        <f t="shared" si="9"/>
        <v>59</v>
      </c>
      <c r="C16" s="361">
        <f t="shared" si="10"/>
        <v>5679755.9960672017</v>
      </c>
      <c r="D16" s="429">
        <f t="shared" si="6"/>
        <v>393238.80300000007</v>
      </c>
      <c r="E16" s="429">
        <f t="shared" si="1"/>
        <v>32769.900250000006</v>
      </c>
      <c r="F16" s="361">
        <f t="shared" si="2"/>
        <v>5286517.1930672014</v>
      </c>
      <c r="G16" s="361">
        <f t="shared" si="7"/>
        <v>1</v>
      </c>
      <c r="H16" s="361">
        <f t="shared" si="3"/>
        <v>539224.75369285455</v>
      </c>
      <c r="I16" s="361">
        <f t="shared" si="4"/>
        <v>1</v>
      </c>
      <c r="J16" s="361">
        <f t="shared" si="8"/>
        <v>5</v>
      </c>
      <c r="K16" s="429">
        <f t="shared" si="5"/>
        <v>5825741.9467600565</v>
      </c>
      <c r="L16" s="430">
        <f t="shared" si="11"/>
        <v>1725221.703</v>
      </c>
    </row>
    <row r="17" spans="1:15">
      <c r="A17" s="428">
        <v>6</v>
      </c>
      <c r="B17" s="360">
        <f t="shared" si="9"/>
        <v>60</v>
      </c>
      <c r="C17" s="361">
        <f t="shared" si="10"/>
        <v>5825741.9467600565</v>
      </c>
      <c r="D17" s="429">
        <f t="shared" si="6"/>
        <v>420765.51921000011</v>
      </c>
      <c r="E17" s="429">
        <f t="shared" si="1"/>
        <v>35063.793267500012</v>
      </c>
      <c r="F17" s="361">
        <f t="shared" si="2"/>
        <v>5404976.427550056</v>
      </c>
      <c r="G17" s="361">
        <f t="shared" si="7"/>
        <v>1</v>
      </c>
      <c r="H17" s="361">
        <f t="shared" si="3"/>
        <v>551307.59561010567</v>
      </c>
      <c r="I17" s="361">
        <f t="shared" si="4"/>
        <v>1</v>
      </c>
      <c r="J17" s="361">
        <f t="shared" si="8"/>
        <v>6</v>
      </c>
      <c r="K17" s="429">
        <f t="shared" si="5"/>
        <v>5956284.0231601624</v>
      </c>
      <c r="L17" s="430">
        <f t="shared" si="11"/>
        <v>2145987.2222100003</v>
      </c>
    </row>
    <row r="18" spans="1:15">
      <c r="A18" s="428">
        <v>7</v>
      </c>
      <c r="B18" s="360">
        <f t="shared" si="9"/>
        <v>61</v>
      </c>
      <c r="C18" s="361">
        <f t="shared" si="10"/>
        <v>5956284.0231601624</v>
      </c>
      <c r="D18" s="429">
        <f t="shared" si="6"/>
        <v>450219.10555470013</v>
      </c>
      <c r="E18" s="429">
        <f t="shared" si="1"/>
        <v>37518.258796225011</v>
      </c>
      <c r="F18" s="361">
        <f t="shared" si="2"/>
        <v>5506064.9176054625</v>
      </c>
      <c r="G18" s="361">
        <f t="shared" si="7"/>
        <v>1</v>
      </c>
      <c r="H18" s="361">
        <f t="shared" si="3"/>
        <v>561618.62159575708</v>
      </c>
      <c r="I18" s="361">
        <f t="shared" si="4"/>
        <v>1</v>
      </c>
      <c r="J18" s="361">
        <f t="shared" si="8"/>
        <v>7</v>
      </c>
      <c r="K18" s="429">
        <f t="shared" si="5"/>
        <v>6067683.5392012205</v>
      </c>
      <c r="L18" s="430">
        <f t="shared" si="11"/>
        <v>2596206.3277647002</v>
      </c>
    </row>
    <row r="19" spans="1:15">
      <c r="A19" s="428">
        <v>8</v>
      </c>
      <c r="B19" s="360">
        <f t="shared" si="9"/>
        <v>62</v>
      </c>
      <c r="C19" s="361">
        <f t="shared" si="10"/>
        <v>6067683.5392012205</v>
      </c>
      <c r="D19" s="429">
        <f t="shared" si="6"/>
        <v>481734.44294352917</v>
      </c>
      <c r="E19" s="429">
        <f t="shared" si="1"/>
        <v>40144.536911960764</v>
      </c>
      <c r="F19" s="361">
        <f t="shared" si="2"/>
        <v>5585949.0962576913</v>
      </c>
      <c r="G19" s="361">
        <f t="shared" si="7"/>
        <v>1</v>
      </c>
      <c r="H19" s="361">
        <f t="shared" si="3"/>
        <v>569766.80781828449</v>
      </c>
      <c r="I19" s="361">
        <f t="shared" si="4"/>
        <v>1</v>
      </c>
      <c r="J19" s="361">
        <f t="shared" si="8"/>
        <v>8</v>
      </c>
      <c r="K19" s="429">
        <f t="shared" si="5"/>
        <v>6155715.9040759765</v>
      </c>
      <c r="L19" s="430">
        <f t="shared" si="11"/>
        <v>3077940.7707082294</v>
      </c>
    </row>
    <row r="20" spans="1:15">
      <c r="A20" s="428">
        <v>9</v>
      </c>
      <c r="B20" s="360">
        <f t="shared" si="9"/>
        <v>63</v>
      </c>
      <c r="C20" s="361">
        <f t="shared" si="10"/>
        <v>6155715.9040759765</v>
      </c>
      <c r="D20" s="429">
        <f t="shared" si="6"/>
        <v>515455.85394957627</v>
      </c>
      <c r="E20" s="429">
        <f t="shared" si="1"/>
        <v>42954.654495798022</v>
      </c>
      <c r="F20" s="361">
        <f t="shared" si="2"/>
        <v>5640260.0501263998</v>
      </c>
      <c r="G20" s="361">
        <f t="shared" si="7"/>
        <v>1</v>
      </c>
      <c r="H20" s="361">
        <f t="shared" si="3"/>
        <v>575306.52511289273</v>
      </c>
      <c r="I20" s="361">
        <f t="shared" si="4"/>
        <v>1</v>
      </c>
      <c r="J20" s="361">
        <f t="shared" si="8"/>
        <v>9</v>
      </c>
      <c r="K20" s="429">
        <f t="shared" si="5"/>
        <v>6215566.5752392933</v>
      </c>
      <c r="L20" s="430">
        <f t="shared" si="11"/>
        <v>3593396.6246578055</v>
      </c>
    </row>
    <row r="21" spans="1:15">
      <c r="A21" s="428">
        <v>10</v>
      </c>
      <c r="B21" s="360">
        <f t="shared" si="9"/>
        <v>64</v>
      </c>
      <c r="C21" s="361">
        <f t="shared" si="10"/>
        <v>6215566.5752392933</v>
      </c>
      <c r="D21" s="429">
        <f t="shared" si="6"/>
        <v>551537.76372604666</v>
      </c>
      <c r="E21" s="429">
        <f t="shared" si="1"/>
        <v>45961.480310503888</v>
      </c>
      <c r="F21" s="361">
        <f t="shared" si="2"/>
        <v>5664028.811513247</v>
      </c>
      <c r="G21" s="361">
        <f t="shared" si="7"/>
        <v>1</v>
      </c>
      <c r="H21" s="361">
        <f t="shared" si="3"/>
        <v>577730.93877435115</v>
      </c>
      <c r="I21" s="361">
        <f t="shared" si="4"/>
        <v>1</v>
      </c>
      <c r="J21" s="361">
        <f t="shared" si="8"/>
        <v>10</v>
      </c>
      <c r="K21" s="429">
        <f t="shared" si="5"/>
        <v>6241759.7502875989</v>
      </c>
      <c r="L21" s="430">
        <f t="shared" si="11"/>
        <v>4144934.3883838523</v>
      </c>
    </row>
    <row r="22" spans="1:15">
      <c r="A22" s="428">
        <v>11</v>
      </c>
      <c r="B22" s="360">
        <f t="shared" si="9"/>
        <v>65</v>
      </c>
      <c r="C22" s="361">
        <f t="shared" si="10"/>
        <v>6241759.7502875989</v>
      </c>
      <c r="D22" s="429">
        <f t="shared" si="6"/>
        <v>590145.40718687</v>
      </c>
      <c r="E22" s="429">
        <f t="shared" si="1"/>
        <v>49178.783932239166</v>
      </c>
      <c r="F22" s="361">
        <f t="shared" si="2"/>
        <v>5651614.3431007285</v>
      </c>
      <c r="G22" s="361">
        <f t="shared" si="7"/>
        <v>1</v>
      </c>
      <c r="H22" s="361">
        <f t="shared" si="3"/>
        <v>576464.6629962743</v>
      </c>
      <c r="I22" s="361">
        <f t="shared" si="4"/>
        <v>0</v>
      </c>
      <c r="J22" s="361">
        <f t="shared" si="8"/>
        <v>11</v>
      </c>
      <c r="K22" s="429">
        <f t="shared" si="5"/>
        <v>6228079.0060970029</v>
      </c>
      <c r="L22" s="430">
        <f t="shared" si="11"/>
        <v>4735079.7955707218</v>
      </c>
    </row>
    <row r="23" spans="1:15">
      <c r="A23" s="428">
        <v>12</v>
      </c>
      <c r="B23" s="360">
        <f t="shared" si="9"/>
        <v>66</v>
      </c>
      <c r="C23" s="361">
        <f t="shared" si="10"/>
        <v>6228079.0060970029</v>
      </c>
      <c r="D23" s="429">
        <f t="shared" si="6"/>
        <v>631455.58568995097</v>
      </c>
      <c r="E23" s="429">
        <f t="shared" si="1"/>
        <v>52621.298807495914</v>
      </c>
      <c r="F23" s="361">
        <f t="shared" si="2"/>
        <v>5596623.4204070522</v>
      </c>
      <c r="G23" s="361">
        <f t="shared" si="7"/>
        <v>1</v>
      </c>
      <c r="H23" s="361">
        <f t="shared" si="3"/>
        <v>570855.58888151927</v>
      </c>
      <c r="I23" s="361">
        <f t="shared" si="4"/>
        <v>0</v>
      </c>
      <c r="J23" s="361">
        <f t="shared" si="8"/>
        <v>12</v>
      </c>
      <c r="K23" s="429">
        <f t="shared" si="5"/>
        <v>6167479.0092885718</v>
      </c>
      <c r="L23" s="430">
        <f t="shared" si="11"/>
        <v>5366535.3812606726</v>
      </c>
    </row>
    <row r="24" spans="1:15">
      <c r="A24" s="428">
        <v>13</v>
      </c>
      <c r="B24" s="360">
        <f t="shared" si="9"/>
        <v>67</v>
      </c>
      <c r="C24" s="361">
        <f t="shared" si="10"/>
        <v>6167479.0092885718</v>
      </c>
      <c r="D24" s="429">
        <f t="shared" si="6"/>
        <v>675657.47668824752</v>
      </c>
      <c r="E24" s="429">
        <f t="shared" si="1"/>
        <v>56304.789724020629</v>
      </c>
      <c r="F24" s="361">
        <f t="shared" si="2"/>
        <v>5491821.5326003246</v>
      </c>
      <c r="G24" s="361">
        <f t="shared" si="7"/>
        <v>1</v>
      </c>
      <c r="H24" s="361">
        <f t="shared" si="3"/>
        <v>560165.79632523307</v>
      </c>
      <c r="I24" s="361">
        <f t="shared" si="4"/>
        <v>0</v>
      </c>
      <c r="J24" s="361">
        <f t="shared" si="8"/>
        <v>13</v>
      </c>
      <c r="K24" s="429">
        <f t="shared" si="5"/>
        <v>6051987.3289255584</v>
      </c>
      <c r="L24" s="430">
        <f t="shared" si="11"/>
        <v>6042192.8579489198</v>
      </c>
    </row>
    <row r="25" spans="1:15">
      <c r="A25" s="428">
        <v>14</v>
      </c>
      <c r="B25" s="360">
        <f t="shared" si="9"/>
        <v>68</v>
      </c>
      <c r="C25" s="361">
        <f t="shared" si="10"/>
        <v>6051987.3289255584</v>
      </c>
      <c r="D25" s="429">
        <f t="shared" si="6"/>
        <v>722953.50005642488</v>
      </c>
      <c r="E25" s="429">
        <f t="shared" si="1"/>
        <v>60246.125004702073</v>
      </c>
      <c r="F25" s="361">
        <f t="shared" si="2"/>
        <v>5329033.8288691333</v>
      </c>
      <c r="G25" s="361">
        <f t="shared" si="7"/>
        <v>1</v>
      </c>
      <c r="H25" s="361">
        <f t="shared" si="3"/>
        <v>543561.4505446516</v>
      </c>
      <c r="I25" s="361">
        <f t="shared" si="4"/>
        <v>0</v>
      </c>
      <c r="J25" s="361">
        <f t="shared" si="8"/>
        <v>14</v>
      </c>
      <c r="K25" s="429">
        <f t="shared" si="5"/>
        <v>5872595.2794137858</v>
      </c>
      <c r="L25" s="430">
        <f t="shared" si="11"/>
        <v>6765146.3580053449</v>
      </c>
    </row>
    <row r="26" spans="1:15">
      <c r="A26" s="428">
        <v>15</v>
      </c>
      <c r="B26" s="360">
        <f t="shared" si="9"/>
        <v>69</v>
      </c>
      <c r="C26" s="361">
        <f t="shared" si="10"/>
        <v>5872595.2794137858</v>
      </c>
      <c r="D26" s="429">
        <f t="shared" si="6"/>
        <v>773560.24506037461</v>
      </c>
      <c r="E26" s="429">
        <f t="shared" si="1"/>
        <v>64463.353755031218</v>
      </c>
      <c r="F26" s="361">
        <f t="shared" si="2"/>
        <v>5099035.0343534108</v>
      </c>
      <c r="G26" s="361">
        <f t="shared" si="7"/>
        <v>1</v>
      </c>
      <c r="H26" s="361">
        <f t="shared" si="3"/>
        <v>520101.57350404788</v>
      </c>
      <c r="I26" s="361">
        <f t="shared" si="4"/>
        <v>0</v>
      </c>
      <c r="J26" s="361">
        <f t="shared" si="8"/>
        <v>15</v>
      </c>
      <c r="K26" s="429">
        <f t="shared" si="5"/>
        <v>5619136.6078574592</v>
      </c>
      <c r="L26" s="430">
        <f t="shared" si="11"/>
        <v>7538706.6030657198</v>
      </c>
    </row>
    <row r="27" spans="1:15">
      <c r="A27" s="428">
        <v>16</v>
      </c>
      <c r="B27" s="360">
        <f t="shared" si="9"/>
        <v>70</v>
      </c>
      <c r="C27" s="361">
        <f t="shared" si="10"/>
        <v>5619136.6078574592</v>
      </c>
      <c r="D27" s="429">
        <f t="shared" si="6"/>
        <v>827709.46221460088</v>
      </c>
      <c r="E27" s="429">
        <f t="shared" si="1"/>
        <v>68975.788517883411</v>
      </c>
      <c r="F27" s="361">
        <f t="shared" si="2"/>
        <v>4791427.145642858</v>
      </c>
      <c r="G27" s="361">
        <f t="shared" si="7"/>
        <v>1</v>
      </c>
      <c r="H27" s="361">
        <f t="shared" si="3"/>
        <v>488725.5688555715</v>
      </c>
      <c r="I27" s="361">
        <f t="shared" si="4"/>
        <v>0</v>
      </c>
      <c r="J27" s="361">
        <f t="shared" si="8"/>
        <v>16</v>
      </c>
      <c r="K27" s="429">
        <f t="shared" si="5"/>
        <v>5280152.7144984296</v>
      </c>
      <c r="L27" s="430">
        <f t="shared" si="11"/>
        <v>8366416.0652803211</v>
      </c>
    </row>
    <row r="28" spans="1:15" ht="15" customHeight="1">
      <c r="A28" s="428">
        <v>17</v>
      </c>
      <c r="B28" s="360">
        <f t="shared" si="9"/>
        <v>71</v>
      </c>
      <c r="C28" s="361">
        <f t="shared" si="10"/>
        <v>5280152.7144984296</v>
      </c>
      <c r="D28" s="429">
        <f t="shared" si="6"/>
        <v>885649.12456962303</v>
      </c>
      <c r="E28" s="429">
        <f t="shared" si="1"/>
        <v>73804.093714135248</v>
      </c>
      <c r="F28" s="361">
        <f t="shared" si="2"/>
        <v>4394503.5899288068</v>
      </c>
      <c r="G28" s="361">
        <f t="shared" si="7"/>
        <v>1</v>
      </c>
      <c r="H28" s="361">
        <f t="shared" si="3"/>
        <v>448239.36617273826</v>
      </c>
      <c r="I28" s="361">
        <f t="shared" si="4"/>
        <v>0</v>
      </c>
      <c r="J28" s="361">
        <f t="shared" si="8"/>
        <v>17</v>
      </c>
      <c r="K28" s="429">
        <f t="shared" si="5"/>
        <v>4842742.9561015451</v>
      </c>
      <c r="L28" s="430">
        <f t="shared" si="11"/>
        <v>9252065.1898499448</v>
      </c>
    </row>
    <row r="29" spans="1:15">
      <c r="A29" s="428">
        <v>18</v>
      </c>
      <c r="B29" s="360">
        <f t="shared" si="9"/>
        <v>72</v>
      </c>
      <c r="C29" s="361">
        <f t="shared" si="10"/>
        <v>4842742.9561015451</v>
      </c>
      <c r="D29" s="429">
        <f t="shared" si="6"/>
        <v>947644.5632894967</v>
      </c>
      <c r="E29" s="429">
        <f t="shared" si="1"/>
        <v>78970.38027412472</v>
      </c>
      <c r="F29" s="361">
        <f t="shared" si="2"/>
        <v>3895098.3928120486</v>
      </c>
      <c r="G29" s="361">
        <f t="shared" si="7"/>
        <v>1</v>
      </c>
      <c r="H29" s="361">
        <f t="shared" si="3"/>
        <v>397300.03606682894</v>
      </c>
      <c r="I29" s="361">
        <f t="shared" si="4"/>
        <v>0</v>
      </c>
      <c r="J29" s="361">
        <f t="shared" si="8"/>
        <v>18</v>
      </c>
      <c r="K29" s="429">
        <f t="shared" si="5"/>
        <v>4292398.4288788782</v>
      </c>
      <c r="L29" s="430">
        <f t="shared" si="11"/>
        <v>10199709.753139442</v>
      </c>
      <c r="M29" s="431" t="s">
        <v>366</v>
      </c>
      <c r="O29" s="432"/>
    </row>
    <row r="30" spans="1:15" ht="15" customHeight="1">
      <c r="A30" s="428">
        <v>19</v>
      </c>
      <c r="B30" s="360">
        <f t="shared" si="9"/>
        <v>73</v>
      </c>
      <c r="C30" s="361">
        <f t="shared" si="10"/>
        <v>4292398.4288788782</v>
      </c>
      <c r="D30" s="429">
        <f t="shared" si="6"/>
        <v>1013979.6827197615</v>
      </c>
      <c r="E30" s="429">
        <f t="shared" si="1"/>
        <v>84498.306893313464</v>
      </c>
      <c r="F30" s="361">
        <f t="shared" si="2"/>
        <v>3278418.7461591167</v>
      </c>
      <c r="G30" s="361">
        <f t="shared" si="7"/>
        <v>1</v>
      </c>
      <c r="H30" s="361">
        <f t="shared" si="3"/>
        <v>334398.71210822987</v>
      </c>
      <c r="I30" s="361">
        <f t="shared" si="4"/>
        <v>0</v>
      </c>
      <c r="J30" s="361">
        <f t="shared" si="8"/>
        <v>19</v>
      </c>
      <c r="K30" s="429">
        <f t="shared" si="5"/>
        <v>3612817.458267347</v>
      </c>
      <c r="L30" s="430">
        <f t="shared" si="11"/>
        <v>11213689.435859203</v>
      </c>
      <c r="M30" s="431" t="s">
        <v>367</v>
      </c>
      <c r="O30" s="432"/>
    </row>
    <row r="31" spans="1:15">
      <c r="A31" s="428">
        <v>20</v>
      </c>
      <c r="B31" s="360">
        <f t="shared" si="9"/>
        <v>74</v>
      </c>
      <c r="C31" s="361">
        <f t="shared" si="10"/>
        <v>3612817.458267347</v>
      </c>
      <c r="D31" s="429">
        <f t="shared" si="6"/>
        <v>1084958.260510145</v>
      </c>
      <c r="E31" s="429">
        <f t="shared" si="1"/>
        <v>90413.188375845421</v>
      </c>
      <c r="F31" s="361">
        <f t="shared" si="2"/>
        <v>2527859.1977572022</v>
      </c>
      <c r="G31" s="361">
        <f t="shared" si="7"/>
        <v>1</v>
      </c>
      <c r="H31" s="361">
        <f t="shared" si="3"/>
        <v>257841.6381712346</v>
      </c>
      <c r="I31" s="361">
        <f t="shared" si="4"/>
        <v>0</v>
      </c>
      <c r="J31" s="361">
        <f t="shared" si="8"/>
        <v>20</v>
      </c>
      <c r="K31" s="429">
        <f t="shared" si="5"/>
        <v>2785700.8359284368</v>
      </c>
      <c r="L31" s="430">
        <f t="shared" si="11"/>
        <v>12298647.696369348</v>
      </c>
    </row>
    <row r="32" spans="1:15">
      <c r="A32" s="428">
        <v>21</v>
      </c>
      <c r="B32" s="360">
        <f t="shared" si="9"/>
        <v>75</v>
      </c>
      <c r="C32" s="361">
        <f t="shared" si="10"/>
        <v>2785700.8359284368</v>
      </c>
      <c r="D32" s="429">
        <f t="shared" si="6"/>
        <v>1160905.3387458553</v>
      </c>
      <c r="E32" s="429">
        <f t="shared" si="1"/>
        <v>96742.111562154605</v>
      </c>
      <c r="F32" s="361">
        <f t="shared" si="2"/>
        <v>1624795.4971825816</v>
      </c>
      <c r="G32" s="361">
        <f t="shared" si="7"/>
        <v>1</v>
      </c>
      <c r="H32" s="361">
        <f t="shared" si="3"/>
        <v>165729.14071262331</v>
      </c>
      <c r="I32" s="361">
        <f t="shared" si="4"/>
        <v>0</v>
      </c>
      <c r="J32" s="361">
        <f t="shared" si="8"/>
        <v>21</v>
      </c>
      <c r="K32" s="429">
        <f t="shared" si="5"/>
        <v>1790524.6378952051</v>
      </c>
      <c r="L32" s="430">
        <f t="shared" si="11"/>
        <v>13459553.035115203</v>
      </c>
    </row>
    <row r="33" spans="1:12">
      <c r="A33" s="428">
        <v>22</v>
      </c>
      <c r="B33" s="360">
        <f t="shared" si="9"/>
        <v>76</v>
      </c>
      <c r="C33" s="361">
        <f t="shared" si="10"/>
        <v>1790524.6378952051</v>
      </c>
      <c r="D33" s="429">
        <f t="shared" si="6"/>
        <v>1242168.7124580652</v>
      </c>
      <c r="E33" s="429">
        <f t="shared" si="1"/>
        <v>103514.05937150544</v>
      </c>
      <c r="F33" s="361">
        <f t="shared" si="2"/>
        <v>548355.92543713981</v>
      </c>
      <c r="G33" s="361">
        <f t="shared" si="7"/>
        <v>1</v>
      </c>
      <c r="H33" s="361">
        <f t="shared" si="3"/>
        <v>55932.30439458826</v>
      </c>
      <c r="I33" s="361">
        <f t="shared" si="4"/>
        <v>0</v>
      </c>
      <c r="J33" s="361">
        <f t="shared" si="8"/>
        <v>22</v>
      </c>
      <c r="K33" s="429">
        <f t="shared" si="5"/>
        <v>604288.22983172815</v>
      </c>
      <c r="L33" s="430">
        <f t="shared" si="11"/>
        <v>14701721.747573268</v>
      </c>
    </row>
    <row r="34" spans="1:12">
      <c r="A34" s="428">
        <v>23</v>
      </c>
      <c r="B34" s="360">
        <f t="shared" si="9"/>
        <v>77</v>
      </c>
      <c r="C34" s="361">
        <f t="shared" si="10"/>
        <v>604288.22983172815</v>
      </c>
      <c r="D34" s="429">
        <f t="shared" si="6"/>
        <v>1329120.52233013</v>
      </c>
      <c r="E34" s="429">
        <f t="shared" si="1"/>
        <v>110760.04352751083</v>
      </c>
      <c r="F34" s="361">
        <f t="shared" si="2"/>
        <v>-724832.29249840183</v>
      </c>
      <c r="G34" s="361">
        <f t="shared" si="7"/>
        <v>0</v>
      </c>
      <c r="H34" s="361">
        <f t="shared" si="3"/>
        <v>-73932.893834836985</v>
      </c>
      <c r="I34" s="361">
        <f t="shared" si="4"/>
        <v>0</v>
      </c>
      <c r="J34" s="361">
        <f t="shared" si="8"/>
        <v>23</v>
      </c>
      <c r="K34" s="429">
        <f t="shared" si="5"/>
        <v>-798765.18633323885</v>
      </c>
      <c r="L34" s="430">
        <f t="shared" si="11"/>
        <v>16030842.269903397</v>
      </c>
    </row>
    <row r="35" spans="1:12">
      <c r="A35" s="428">
        <v>24</v>
      </c>
      <c r="B35" s="360">
        <f t="shared" si="9"/>
        <v>78</v>
      </c>
      <c r="C35" s="361">
        <f t="shared" si="10"/>
        <v>-798765.18633323885</v>
      </c>
      <c r="D35" s="429">
        <f t="shared" si="6"/>
        <v>1422158.9588932393</v>
      </c>
      <c r="E35" s="429">
        <f t="shared" si="1"/>
        <v>118513.24657443661</v>
      </c>
      <c r="F35" s="361">
        <f t="shared" si="2"/>
        <v>-2220924.1452264781</v>
      </c>
      <c r="G35" s="361">
        <f t="shared" si="7"/>
        <v>0</v>
      </c>
      <c r="H35" s="361">
        <f t="shared" si="3"/>
        <v>-226534.26281310077</v>
      </c>
      <c r="I35" s="361">
        <f t="shared" si="4"/>
        <v>0</v>
      </c>
      <c r="J35" s="361">
        <f t="shared" si="8"/>
        <v>24</v>
      </c>
      <c r="K35" s="429">
        <f t="shared" si="5"/>
        <v>-2447458.4080395792</v>
      </c>
      <c r="L35" s="430">
        <f t="shared" si="11"/>
        <v>17453001.228796635</v>
      </c>
    </row>
    <row r="36" spans="1:12">
      <c r="A36" s="428">
        <v>25</v>
      </c>
      <c r="B36" s="360">
        <f t="shared" si="9"/>
        <v>79</v>
      </c>
      <c r="C36" s="361">
        <f t="shared" si="10"/>
        <v>-2447458.4080395792</v>
      </c>
      <c r="D36" s="429">
        <f t="shared" si="6"/>
        <v>1521710.086015766</v>
      </c>
      <c r="E36" s="429">
        <f t="shared" si="1"/>
        <v>126809.17383464717</v>
      </c>
      <c r="F36" s="361">
        <f t="shared" si="2"/>
        <v>-3969168.4940553452</v>
      </c>
      <c r="G36" s="361">
        <f t="shared" si="7"/>
        <v>0</v>
      </c>
      <c r="H36" s="361">
        <f t="shared" si="3"/>
        <v>-404855.18639364518</v>
      </c>
      <c r="I36" s="361">
        <f t="shared" si="4"/>
        <v>0</v>
      </c>
      <c r="J36" s="361">
        <f t="shared" si="8"/>
        <v>25</v>
      </c>
      <c r="K36" s="429">
        <f t="shared" si="5"/>
        <v>-4374023.6804489903</v>
      </c>
      <c r="L36" s="430">
        <f t="shared" si="11"/>
        <v>18974711.314812399</v>
      </c>
    </row>
    <row r="37" spans="1:12">
      <c r="A37" s="428">
        <v>26</v>
      </c>
      <c r="B37" s="360">
        <f t="shared" si="9"/>
        <v>80</v>
      </c>
      <c r="C37" s="361">
        <f t="shared" si="10"/>
        <v>-4374023.6804489903</v>
      </c>
      <c r="D37" s="429">
        <f t="shared" si="6"/>
        <v>1628229.7920368698</v>
      </c>
      <c r="E37" s="429">
        <f t="shared" si="1"/>
        <v>135685.81600307248</v>
      </c>
      <c r="F37" s="361">
        <f t="shared" si="2"/>
        <v>-6002253.4724858599</v>
      </c>
      <c r="G37" s="361">
        <f t="shared" si="7"/>
        <v>0</v>
      </c>
      <c r="H37" s="361">
        <f t="shared" si="3"/>
        <v>-612229.85419355764</v>
      </c>
      <c r="I37" s="361">
        <f t="shared" si="4"/>
        <v>0</v>
      </c>
      <c r="J37" s="361">
        <f t="shared" si="8"/>
        <v>26</v>
      </c>
      <c r="K37" s="429">
        <f t="shared" si="5"/>
        <v>-6614483.3266794179</v>
      </c>
      <c r="L37" s="430">
        <f t="shared" si="11"/>
        <v>20602941.106849268</v>
      </c>
    </row>
    <row r="38" spans="1:12">
      <c r="A38" s="428">
        <v>27</v>
      </c>
      <c r="B38" s="360">
        <f t="shared" si="9"/>
        <v>81</v>
      </c>
      <c r="C38" s="361">
        <f t="shared" si="10"/>
        <v>-6614483.3266794179</v>
      </c>
      <c r="D38" s="429">
        <f t="shared" si="6"/>
        <v>1742205.8774794508</v>
      </c>
      <c r="E38" s="429">
        <f t="shared" si="1"/>
        <v>145183.82312328756</v>
      </c>
      <c r="F38" s="361">
        <f t="shared" si="2"/>
        <v>-8356689.2041588686</v>
      </c>
      <c r="G38" s="361">
        <f t="shared" si="7"/>
        <v>0</v>
      </c>
      <c r="H38" s="361">
        <f t="shared" si="3"/>
        <v>-852382.2988242046</v>
      </c>
      <c r="I38" s="361">
        <f t="shared" si="4"/>
        <v>0</v>
      </c>
      <c r="J38" s="361">
        <f t="shared" si="8"/>
        <v>27</v>
      </c>
      <c r="K38" s="429">
        <f t="shared" si="5"/>
        <v>-9209071.5029830746</v>
      </c>
      <c r="L38" s="430">
        <f t="shared" si="11"/>
        <v>22345146.984328717</v>
      </c>
    </row>
    <row r="39" spans="1:12">
      <c r="A39" s="428">
        <v>28</v>
      </c>
      <c r="B39" s="360">
        <f t="shared" si="9"/>
        <v>82</v>
      </c>
      <c r="C39" s="361">
        <f t="shared" si="10"/>
        <v>-9209071.5029830746</v>
      </c>
      <c r="D39" s="429">
        <f t="shared" si="6"/>
        <v>1864160.2889030124</v>
      </c>
      <c r="E39" s="429">
        <f t="shared" si="1"/>
        <v>155346.6907419177</v>
      </c>
      <c r="F39" s="361">
        <f t="shared" si="2"/>
        <v>-11073231.791886088</v>
      </c>
      <c r="G39" s="361">
        <f t="shared" si="7"/>
        <v>0</v>
      </c>
      <c r="H39" s="361">
        <f t="shared" si="3"/>
        <v>-1129469.642772381</v>
      </c>
      <c r="I39" s="361">
        <f t="shared" si="4"/>
        <v>0</v>
      </c>
      <c r="J39" s="361">
        <f t="shared" si="8"/>
        <v>28</v>
      </c>
      <c r="K39" s="429">
        <f t="shared" si="5"/>
        <v>-12202701.43465847</v>
      </c>
      <c r="L39" s="430">
        <f t="shared" si="11"/>
        <v>24209307.27323173</v>
      </c>
    </row>
    <row r="40" spans="1:12">
      <c r="A40" s="428">
        <v>29</v>
      </c>
      <c r="B40" s="360">
        <f t="shared" si="9"/>
        <v>83</v>
      </c>
      <c r="C40" s="361">
        <f t="shared" si="10"/>
        <v>-12202701.43465847</v>
      </c>
      <c r="D40" s="429">
        <f t="shared" si="6"/>
        <v>1994651.5091262234</v>
      </c>
      <c r="E40" s="429">
        <f t="shared" si="1"/>
        <v>166220.95909385194</v>
      </c>
      <c r="F40" s="361">
        <f t="shared" si="2"/>
        <v>-14197352.943784693</v>
      </c>
      <c r="G40" s="361">
        <f t="shared" si="7"/>
        <v>0</v>
      </c>
      <c r="H40" s="361">
        <f t="shared" si="3"/>
        <v>-1448130.0002660386</v>
      </c>
      <c r="I40" s="361">
        <f t="shared" si="4"/>
        <v>0</v>
      </c>
      <c r="J40" s="361">
        <f t="shared" si="8"/>
        <v>29</v>
      </c>
      <c r="K40" s="429">
        <f t="shared" si="5"/>
        <v>-15645482.944050733</v>
      </c>
      <c r="L40" s="430">
        <f t="shared" si="11"/>
        <v>26203958.782357953</v>
      </c>
    </row>
    <row r="41" spans="1:12">
      <c r="A41" s="428">
        <v>30</v>
      </c>
      <c r="B41" s="360">
        <f t="shared" si="9"/>
        <v>84</v>
      </c>
      <c r="C41" s="361">
        <f t="shared" si="10"/>
        <v>-15645482.944050733</v>
      </c>
      <c r="D41" s="429">
        <f t="shared" si="6"/>
        <v>2134277.1147650592</v>
      </c>
      <c r="E41" s="429">
        <f t="shared" si="1"/>
        <v>177856.42623042161</v>
      </c>
      <c r="F41" s="361">
        <f t="shared" si="2"/>
        <v>-17779760.058815792</v>
      </c>
      <c r="G41" s="361">
        <f t="shared" si="7"/>
        <v>0</v>
      </c>
      <c r="H41" s="361">
        <f t="shared" si="3"/>
        <v>-1813535.5259992108</v>
      </c>
      <c r="I41" s="361">
        <f t="shared" si="4"/>
        <v>0</v>
      </c>
      <c r="J41" s="361">
        <f t="shared" si="8"/>
        <v>30</v>
      </c>
      <c r="K41" s="429">
        <f t="shared" si="5"/>
        <v>-19593295.584815003</v>
      </c>
      <c r="L41" s="430">
        <f t="shared" si="11"/>
        <v>28338235.897123013</v>
      </c>
    </row>
    <row r="42" spans="1:12">
      <c r="A42" s="428">
        <v>31</v>
      </c>
      <c r="B42" s="360">
        <f t="shared" si="9"/>
        <v>85</v>
      </c>
      <c r="C42" s="361">
        <f t="shared" si="10"/>
        <v>-19593295.584815003</v>
      </c>
      <c r="D42" s="429">
        <f t="shared" si="6"/>
        <v>2283676.5127986134</v>
      </c>
      <c r="E42" s="429">
        <f t="shared" si="1"/>
        <v>190306.37606655111</v>
      </c>
      <c r="F42" s="361">
        <f t="shared" si="2"/>
        <v>-21876972.097613618</v>
      </c>
      <c r="G42" s="361">
        <f t="shared" si="7"/>
        <v>0</v>
      </c>
      <c r="H42" s="361">
        <f t="shared" si="3"/>
        <v>-2231451.1539565888</v>
      </c>
      <c r="I42" s="361">
        <f t="shared" si="4"/>
        <v>0</v>
      </c>
      <c r="J42" s="361">
        <f t="shared" si="8"/>
        <v>31</v>
      </c>
      <c r="K42" s="429">
        <f t="shared" si="5"/>
        <v>-24108423.25157021</v>
      </c>
      <c r="L42" s="430">
        <f t="shared" si="11"/>
        <v>30621912.409921627</v>
      </c>
    </row>
    <row r="43" spans="1:12">
      <c r="A43" s="428">
        <v>32</v>
      </c>
      <c r="B43" s="360">
        <f t="shared" si="9"/>
        <v>86</v>
      </c>
      <c r="C43" s="361">
        <f t="shared" si="10"/>
        <v>-24108423.25157021</v>
      </c>
      <c r="D43" s="429">
        <f t="shared" si="6"/>
        <v>2443533.8686945164</v>
      </c>
      <c r="E43" s="429">
        <f t="shared" si="1"/>
        <v>203627.82239120969</v>
      </c>
      <c r="F43" s="361">
        <f t="shared" si="2"/>
        <v>-26551957.120264728</v>
      </c>
      <c r="G43" s="361">
        <f t="shared" si="7"/>
        <v>0</v>
      </c>
      <c r="H43" s="361">
        <f t="shared" si="3"/>
        <v>-2708299.626267002</v>
      </c>
      <c r="I43" s="361">
        <f t="shared" si="4"/>
        <v>0</v>
      </c>
      <c r="J43" s="361">
        <f t="shared" si="8"/>
        <v>32</v>
      </c>
      <c r="K43" s="429">
        <f t="shared" si="5"/>
        <v>-29260256.746531732</v>
      </c>
      <c r="L43" s="430">
        <f t="shared" si="11"/>
        <v>33065446.278616145</v>
      </c>
    </row>
    <row r="44" spans="1:12">
      <c r="A44" s="428">
        <v>33</v>
      </c>
      <c r="B44" s="360">
        <f t="shared" si="9"/>
        <v>87</v>
      </c>
      <c r="C44" s="361">
        <f t="shared" si="10"/>
        <v>-29260256.746531732</v>
      </c>
      <c r="D44" s="429">
        <f t="shared" si="6"/>
        <v>2614581.2395031326</v>
      </c>
      <c r="E44" s="429">
        <f t="shared" si="1"/>
        <v>217881.76995859438</v>
      </c>
      <c r="F44" s="361">
        <f t="shared" si="2"/>
        <v>-31874837.986034866</v>
      </c>
      <c r="G44" s="361">
        <f t="shared" si="7"/>
        <v>0</v>
      </c>
      <c r="H44" s="361">
        <f t="shared" si="3"/>
        <v>-3251233.4745755563</v>
      </c>
      <c r="I44" s="361">
        <f t="shared" si="4"/>
        <v>0</v>
      </c>
      <c r="J44" s="361">
        <f t="shared" si="8"/>
        <v>33</v>
      </c>
      <c r="K44" s="429">
        <f t="shared" si="5"/>
        <v>-35126071.460610427</v>
      </c>
      <c r="L44" s="430">
        <f t="shared" si="11"/>
        <v>35680027.518119276</v>
      </c>
    </row>
    <row r="45" spans="1:12">
      <c r="A45" s="428">
        <v>34</v>
      </c>
      <c r="B45" s="360">
        <f t="shared" si="9"/>
        <v>88</v>
      </c>
      <c r="C45" s="361">
        <f t="shared" si="10"/>
        <v>-35126071.460610427</v>
      </c>
      <c r="D45" s="429">
        <f t="shared" si="6"/>
        <v>2797601.9262683522</v>
      </c>
      <c r="E45" s="429">
        <f t="shared" si="1"/>
        <v>233133.49385569603</v>
      </c>
      <c r="F45" s="361">
        <f t="shared" si="2"/>
        <v>-37923673.386878781</v>
      </c>
      <c r="G45" s="361">
        <f t="shared" si="7"/>
        <v>0</v>
      </c>
      <c r="H45" s="361">
        <f t="shared" si="3"/>
        <v>-3868214.6854616352</v>
      </c>
      <c r="I45" s="361">
        <f t="shared" si="4"/>
        <v>0</v>
      </c>
      <c r="J45" s="361">
        <f t="shared" si="8"/>
        <v>34</v>
      </c>
      <c r="K45" s="429">
        <f t="shared" si="5"/>
        <v>-41791888.072340421</v>
      </c>
      <c r="L45" s="430">
        <f t="shared" si="11"/>
        <v>38477629.44438763</v>
      </c>
    </row>
    <row r="46" spans="1:12">
      <c r="A46" s="428">
        <v>35</v>
      </c>
      <c r="B46" s="360">
        <f t="shared" si="9"/>
        <v>89</v>
      </c>
      <c r="C46" s="361">
        <f t="shared" si="10"/>
        <v>-41791888.072340421</v>
      </c>
      <c r="D46" s="429">
        <f t="shared" si="6"/>
        <v>2993434.0611071372</v>
      </c>
      <c r="E46" s="429">
        <f t="shared" si="1"/>
        <v>249452.83842559476</v>
      </c>
      <c r="F46" s="361">
        <f t="shared" si="2"/>
        <v>-44785322.133447558</v>
      </c>
      <c r="G46" s="361">
        <f t="shared" si="7"/>
        <v>0</v>
      </c>
      <c r="H46" s="361">
        <f t="shared" si="3"/>
        <v>-4568102.8576116506</v>
      </c>
      <c r="I46" s="361">
        <f t="shared" si="4"/>
        <v>0</v>
      </c>
      <c r="J46" s="361">
        <f t="shared" si="8"/>
        <v>35</v>
      </c>
      <c r="K46" s="429">
        <f t="shared" si="5"/>
        <v>-49353424.991059214</v>
      </c>
      <c r="L46" s="430">
        <f t="shared" si="11"/>
        <v>41471063.505494766</v>
      </c>
    </row>
    <row r="47" spans="1:12">
      <c r="A47" s="428">
        <v>36</v>
      </c>
      <c r="B47" s="360">
        <f t="shared" si="9"/>
        <v>90</v>
      </c>
      <c r="C47" s="361">
        <f t="shared" si="10"/>
        <v>-49353424.991059214</v>
      </c>
      <c r="D47" s="429">
        <f t="shared" si="6"/>
        <v>3202974.445384637</v>
      </c>
      <c r="E47" s="429">
        <f t="shared" si="1"/>
        <v>266914.5371153864</v>
      </c>
      <c r="F47" s="361">
        <f t="shared" si="2"/>
        <v>-52556399.43644385</v>
      </c>
      <c r="G47" s="361">
        <f t="shared" si="7"/>
        <v>0</v>
      </c>
      <c r="H47" s="361">
        <f t="shared" si="3"/>
        <v>-5360752.742517272</v>
      </c>
      <c r="I47" s="361">
        <f t="shared" si="4"/>
        <v>0</v>
      </c>
      <c r="J47" s="361">
        <f t="shared" si="8"/>
        <v>36</v>
      </c>
      <c r="K47" s="429">
        <f t="shared" si="5"/>
        <v>-57917152.178961128</v>
      </c>
      <c r="L47" s="430">
        <f t="shared" si="11"/>
        <v>44674037.950879402</v>
      </c>
    </row>
    <row r="48" spans="1:12">
      <c r="A48" s="428">
        <v>37</v>
      </c>
      <c r="B48" s="360">
        <f t="shared" si="9"/>
        <v>91</v>
      </c>
      <c r="C48" s="361">
        <f t="shared" si="10"/>
        <v>-57917152.178961128</v>
      </c>
      <c r="D48" s="429">
        <f t="shared" si="6"/>
        <v>3427182.6565615619</v>
      </c>
      <c r="E48" s="429">
        <f t="shared" si="1"/>
        <v>285598.55471346347</v>
      </c>
      <c r="F48" s="361">
        <f t="shared" si="2"/>
        <v>-61344334.835522689</v>
      </c>
      <c r="G48" s="361">
        <f t="shared" si="7"/>
        <v>0</v>
      </c>
      <c r="H48" s="361">
        <f t="shared" si="3"/>
        <v>-6257122.1532233143</v>
      </c>
      <c r="I48" s="361">
        <f t="shared" si="4"/>
        <v>0</v>
      </c>
      <c r="J48" s="361">
        <f t="shared" si="8"/>
        <v>37</v>
      </c>
      <c r="K48" s="429">
        <f t="shared" si="5"/>
        <v>-67601456.988746002</v>
      </c>
      <c r="L48" s="430">
        <f t="shared" si="11"/>
        <v>48101220.607440963</v>
      </c>
    </row>
    <row r="49" spans="1:12">
      <c r="A49" s="428">
        <v>38</v>
      </c>
      <c r="B49" s="360">
        <f t="shared" si="9"/>
        <v>92</v>
      </c>
      <c r="C49" s="361">
        <f t="shared" si="10"/>
        <v>-67601456.988746002</v>
      </c>
      <c r="D49" s="429">
        <f t="shared" si="6"/>
        <v>3667085.4425208713</v>
      </c>
      <c r="E49" s="429">
        <f t="shared" si="1"/>
        <v>305590.45354340592</v>
      </c>
      <c r="F49" s="361">
        <f t="shared" si="2"/>
        <v>-71268542.431266874</v>
      </c>
      <c r="G49" s="361">
        <f t="shared" si="7"/>
        <v>0</v>
      </c>
      <c r="H49" s="361">
        <f t="shared" si="3"/>
        <v>-7269391.3279892206</v>
      </c>
      <c r="I49" s="361">
        <f t="shared" si="4"/>
        <v>0</v>
      </c>
      <c r="J49" s="361">
        <f t="shared" si="8"/>
        <v>38</v>
      </c>
      <c r="K49" s="429">
        <f t="shared" si="5"/>
        <v>-78537933.759256095</v>
      </c>
      <c r="L49" s="430">
        <f t="shared" si="11"/>
        <v>51768306.049961835</v>
      </c>
    </row>
    <row r="50" spans="1:12">
      <c r="A50" s="428">
        <v>39</v>
      </c>
      <c r="B50" s="360">
        <f t="shared" si="9"/>
        <v>93</v>
      </c>
      <c r="C50" s="361">
        <f t="shared" si="10"/>
        <v>-78537933.759256095</v>
      </c>
      <c r="D50" s="429">
        <f t="shared" si="6"/>
        <v>3923781.4234973327</v>
      </c>
      <c r="E50" s="429">
        <f t="shared" si="1"/>
        <v>326981.78529144439</v>
      </c>
      <c r="F50" s="361">
        <f t="shared" si="2"/>
        <v>-82461715.182753429</v>
      </c>
      <c r="G50" s="361">
        <f t="shared" si="7"/>
        <v>0</v>
      </c>
      <c r="H50" s="361">
        <f t="shared" si="3"/>
        <v>-8411094.9486408494</v>
      </c>
      <c r="I50" s="361">
        <f t="shared" si="4"/>
        <v>0</v>
      </c>
      <c r="J50" s="361">
        <f t="shared" si="8"/>
        <v>39</v>
      </c>
      <c r="K50" s="429">
        <f t="shared" si="5"/>
        <v>-90872810.131394282</v>
      </c>
      <c r="L50" s="430">
        <f t="shared" si="11"/>
        <v>55692087.473459169</v>
      </c>
    </row>
    <row r="51" spans="1:12">
      <c r="A51" s="428">
        <v>40</v>
      </c>
      <c r="B51" s="360">
        <f t="shared" si="9"/>
        <v>94</v>
      </c>
      <c r="C51" s="361">
        <f t="shared" si="10"/>
        <v>-90872810.131394282</v>
      </c>
      <c r="D51" s="429">
        <f t="shared" si="6"/>
        <v>4198446.1231421465</v>
      </c>
      <c r="E51" s="429">
        <f t="shared" si="1"/>
        <v>349870.51026184554</v>
      </c>
      <c r="F51" s="361">
        <f t="shared" si="2"/>
        <v>-95071256.254536435</v>
      </c>
      <c r="G51" s="361">
        <f t="shared" si="7"/>
        <v>0</v>
      </c>
      <c r="H51" s="361">
        <f t="shared" si="3"/>
        <v>-9697268.1379627157</v>
      </c>
      <c r="I51" s="361">
        <f t="shared" si="4"/>
        <v>0</v>
      </c>
      <c r="J51" s="361">
        <f t="shared" si="8"/>
        <v>40</v>
      </c>
      <c r="K51" s="429">
        <f t="shared" si="5"/>
        <v>-104768524.39249916</v>
      </c>
      <c r="L51" s="430">
        <f t="shared" si="11"/>
        <v>59890533.596601315</v>
      </c>
    </row>
    <row r="52" spans="1:12">
      <c r="A52" s="428">
        <v>41</v>
      </c>
      <c r="B52" s="360">
        <f t="shared" si="9"/>
        <v>95</v>
      </c>
      <c r="C52" s="361">
        <f t="shared" si="10"/>
        <v>-104768524.39249916</v>
      </c>
      <c r="D52" s="429">
        <f t="shared" si="6"/>
        <v>4492337.3517620973</v>
      </c>
      <c r="E52" s="429">
        <f t="shared" si="1"/>
        <v>374361.44598017476</v>
      </c>
      <c r="F52" s="361">
        <f t="shared" si="2"/>
        <v>-109260861.74426126</v>
      </c>
      <c r="G52" s="361">
        <f t="shared" si="7"/>
        <v>0</v>
      </c>
      <c r="H52" s="361">
        <f t="shared" si="3"/>
        <v>-11144607.897914648</v>
      </c>
      <c r="I52" s="361">
        <f t="shared" si="4"/>
        <v>0</v>
      </c>
      <c r="J52" s="361">
        <f t="shared" si="8"/>
        <v>41</v>
      </c>
      <c r="K52" s="429">
        <f t="shared" si="5"/>
        <v>-120405469.64217593</v>
      </c>
      <c r="L52" s="430">
        <f t="shared" si="11"/>
        <v>64382870.948363408</v>
      </c>
    </row>
  </sheetData>
  <mergeCells count="14">
    <mergeCell ref="A1:D1"/>
    <mergeCell ref="F1:H1"/>
    <mergeCell ref="K1:O1"/>
    <mergeCell ref="A2:C2"/>
    <mergeCell ref="F2:H2"/>
    <mergeCell ref="K2:O2"/>
    <mergeCell ref="A5:C5"/>
    <mergeCell ref="P5:Q5"/>
    <mergeCell ref="A3:C3"/>
    <mergeCell ref="F3:H3"/>
    <mergeCell ref="K3:O3"/>
    <mergeCell ref="A4:C4"/>
    <mergeCell ref="F4:H4"/>
    <mergeCell ref="K4:O4"/>
  </mergeCells>
  <conditionalFormatting sqref="H12:J52">
    <cfRule type="expression" priority="1">
      <formula>"G8&gt;D8"</formula>
    </cfRule>
  </conditionalFormatting>
  <dataValidations count="3">
    <dataValidation type="custom" allowBlank="1" showInputMessage="1" showErrorMessage="1" sqref="P4" xr:uid="{00000000-0002-0000-0500-000000000000}">
      <formula1>IF(1=1,SUM(P2:P4)&lt;=100%,"")</formula1>
    </dataValidation>
    <dataValidation type="custom" allowBlank="1" showInputMessage="1" showErrorMessage="1" sqref="P3" xr:uid="{00000000-0002-0000-0500-000001000000}">
      <formula1>IF(1=1,SUM(P2:P4)&lt;=100%,"")</formula1>
    </dataValidation>
    <dataValidation type="custom" allowBlank="1" showInputMessage="1" showErrorMessage="1" sqref="P2" xr:uid="{00000000-0002-0000-0500-000002000000}">
      <formula1>IF(1=1,SUM(P2:P4)&lt;=100%,"")</formula1>
    </dataValidation>
  </dataValidations>
  <pageMargins left="0.25" right="0.25" top="0.75" bottom="0.75" header="0.3" footer="0.3"/>
  <pageSetup paperSize="9" scale="90" orientation="landscape" r:id="rId1"/>
  <headerFooter>
    <oddFooter>&amp;RPowered by &amp;G</oddFooter>
  </headerFooter>
  <drawing r:id="rId2"/>
  <legacyDrawingHF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0"/>
  <dimension ref="A1:X64"/>
  <sheetViews>
    <sheetView showGridLines="0" workbookViewId="0">
      <selection activeCell="D9" sqref="D9"/>
    </sheetView>
  </sheetViews>
  <sheetFormatPr defaultColWidth="0" defaultRowHeight="12.75" zeroHeight="1"/>
  <cols>
    <col min="1" max="1" width="4.140625" style="71" customWidth="1"/>
    <col min="2" max="2" width="11.28515625" style="71" bestFit="1" customWidth="1"/>
    <col min="3" max="3" width="13.85546875" style="71" bestFit="1" customWidth="1"/>
    <col min="4" max="4" width="14.42578125" style="71" customWidth="1"/>
    <col min="5" max="5" width="6.42578125" style="71" customWidth="1"/>
    <col min="6" max="6" width="11.28515625" style="71" customWidth="1"/>
    <col min="7" max="7" width="13.85546875" style="71" customWidth="1"/>
    <col min="8" max="8" width="14.42578125" style="71" customWidth="1"/>
    <col min="9" max="9" width="10.7109375" style="71" customWidth="1"/>
    <col min="10" max="10" width="10.7109375" style="71" hidden="1" customWidth="1"/>
    <col min="11" max="14" width="10.7109375" style="71" customWidth="1"/>
    <col min="15" max="24" width="10.7109375" style="71" hidden="1" customWidth="1"/>
    <col min="25" max="16384" width="9.140625" style="71" hidden="1"/>
  </cols>
  <sheetData>
    <row r="1" spans="2:21" ht="22.5" customHeight="1">
      <c r="B1" s="199" t="s">
        <v>151</v>
      </c>
      <c r="C1" s="200"/>
      <c r="D1" s="200"/>
      <c r="E1" s="200"/>
      <c r="F1" s="200"/>
      <c r="G1" s="200"/>
      <c r="H1" s="200"/>
      <c r="N1" s="255"/>
      <c r="O1" s="255">
        <f>FV(D8,VLOOKUP(D4,O4:P34,2,0),,-D3,)</f>
        <v>5000000</v>
      </c>
    </row>
    <row r="2" spans="2:21" ht="15">
      <c r="B2" s="627" t="s">
        <v>198</v>
      </c>
      <c r="C2" s="627"/>
      <c r="D2" s="104">
        <v>30</v>
      </c>
      <c r="E2" s="52"/>
      <c r="F2" s="93" t="s">
        <v>167</v>
      </c>
      <c r="G2" s="93"/>
      <c r="H2" s="226">
        <v>0.312</v>
      </c>
      <c r="O2" s="255">
        <f>FV(J8,VLOOKUP(D4,O4:P34,2,0),,-D3,)</f>
        <v>5000000</v>
      </c>
    </row>
    <row r="3" spans="2:21" s="73" customFormat="1" ht="18" customHeight="1">
      <c r="B3" s="627" t="s">
        <v>0</v>
      </c>
      <c r="C3" s="627"/>
      <c r="D3" s="105">
        <v>5000000</v>
      </c>
      <c r="E3" s="72"/>
      <c r="F3" s="95" t="s">
        <v>39</v>
      </c>
      <c r="G3" s="96"/>
      <c r="H3" s="107">
        <v>25000</v>
      </c>
      <c r="N3" s="256"/>
    </row>
    <row r="4" spans="2:21" s="73" customFormat="1" ht="18" customHeight="1">
      <c r="B4" s="627" t="s">
        <v>223</v>
      </c>
      <c r="C4" s="630"/>
      <c r="D4" s="109" t="s">
        <v>222</v>
      </c>
      <c r="E4" s="72"/>
      <c r="F4" s="94" t="s">
        <v>4</v>
      </c>
      <c r="G4" s="72"/>
      <c r="H4" s="108">
        <v>7.0000000000000007E-2</v>
      </c>
      <c r="O4" s="228" t="s">
        <v>222</v>
      </c>
      <c r="P4" s="73">
        <v>0</v>
      </c>
    </row>
    <row r="5" spans="2:21" s="73" customFormat="1" ht="18" customHeight="1">
      <c r="B5" s="97"/>
      <c r="C5" s="98"/>
      <c r="D5" s="238"/>
      <c r="E5" s="72"/>
      <c r="F5" s="94"/>
      <c r="G5" s="72"/>
      <c r="H5" s="238"/>
      <c r="O5" s="73" t="s">
        <v>168</v>
      </c>
      <c r="P5" s="73">
        <v>1</v>
      </c>
    </row>
    <row r="6" spans="2:21" s="181" customFormat="1" ht="18" customHeight="1">
      <c r="B6" s="182"/>
      <c r="C6" s="183"/>
      <c r="D6" s="237"/>
      <c r="E6" s="82"/>
      <c r="F6" s="184"/>
      <c r="G6" s="82"/>
      <c r="H6" s="239"/>
      <c r="K6" s="236"/>
      <c r="O6" s="228" t="s">
        <v>170</v>
      </c>
      <c r="P6" s="73">
        <v>2</v>
      </c>
    </row>
    <row r="7" spans="2:21" s="73" customFormat="1" ht="18" customHeight="1">
      <c r="B7" s="628" t="s">
        <v>211</v>
      </c>
      <c r="C7" s="628"/>
      <c r="D7" s="628"/>
      <c r="E7" s="72"/>
      <c r="F7" s="629" t="s">
        <v>40</v>
      </c>
      <c r="G7" s="629"/>
      <c r="H7" s="629"/>
      <c r="O7" s="228" t="s">
        <v>169</v>
      </c>
      <c r="P7" s="73">
        <v>3</v>
      </c>
    </row>
    <row r="8" spans="2:21" s="73" customFormat="1" ht="18" customHeight="1">
      <c r="B8" s="95" t="s">
        <v>36</v>
      </c>
      <c r="C8" s="99"/>
      <c r="D8" s="106">
        <v>0.10199999999999999</v>
      </c>
      <c r="E8" s="72"/>
      <c r="F8" s="95" t="s">
        <v>36</v>
      </c>
      <c r="G8" s="99"/>
      <c r="H8" s="106">
        <v>0.08</v>
      </c>
      <c r="J8" s="227">
        <f>H8*(1-H2)</f>
        <v>5.5039999999999999E-2</v>
      </c>
      <c r="O8" s="228" t="s">
        <v>171</v>
      </c>
      <c r="P8" s="73">
        <v>4</v>
      </c>
    </row>
    <row r="9" spans="2:21" s="73" customFormat="1" ht="18" customHeight="1" thickBot="1">
      <c r="B9" s="100" t="str">
        <f ca="1">IF(D10&lt;=0,"Portfolio will get exhausted after "&amp;VLOOKUP("YES",R13:S62,2,0)-1&amp;" years","Portfolio Value at the end of "&amp;D2&amp;" years")</f>
        <v>Portfolio will get exhausted after 22 years</v>
      </c>
      <c r="C9" s="95"/>
      <c r="D9" s="96"/>
      <c r="E9" s="96"/>
      <c r="F9" s="100" t="str">
        <f ca="1">IF(H10&lt;=0,"Portfolio will get exhausted after "&amp;VLOOKUP("YES",T13:U62,2,0)-1&amp;" years","Portfolio Value at the end of "&amp;D2&amp;" years")</f>
        <v>Portfolio will get exhausted after 15 years</v>
      </c>
      <c r="G9" s="95"/>
      <c r="H9" s="96"/>
      <c r="I9" s="96"/>
      <c r="O9" s="228" t="s">
        <v>172</v>
      </c>
      <c r="P9" s="73">
        <v>5</v>
      </c>
    </row>
    <row r="10" spans="2:21" s="73" customFormat="1" ht="18" customHeight="1" thickBot="1">
      <c r="B10" s="100"/>
      <c r="C10" s="95"/>
      <c r="D10" s="101">
        <f ca="1">INDIRECT(ADDRESS(12+D2,4))</f>
        <v>-19593295.584815003</v>
      </c>
      <c r="E10" s="96"/>
      <c r="F10" s="95"/>
      <c r="G10" s="95"/>
      <c r="H10" s="101">
        <f ca="1">INDIRECT(ADDRESS(12+D2,8))</f>
        <v>-30539476.845651001</v>
      </c>
      <c r="I10" s="96"/>
      <c r="O10" s="228" t="s">
        <v>173</v>
      </c>
      <c r="P10" s="73">
        <v>6</v>
      </c>
    </row>
    <row r="11" spans="2:21" s="73" customFormat="1" ht="18" customHeight="1">
      <c r="C11" s="95"/>
      <c r="D11" s="96"/>
      <c r="E11" s="96"/>
      <c r="F11" s="95"/>
      <c r="G11" s="95"/>
      <c r="H11" s="96"/>
      <c r="I11" s="96"/>
      <c r="O11" s="228" t="s">
        <v>174</v>
      </c>
      <c r="P11" s="73">
        <v>7</v>
      </c>
    </row>
    <row r="12" spans="2:21" s="73" customFormat="1" ht="18" customHeight="1">
      <c r="B12" s="102" t="s">
        <v>32</v>
      </c>
      <c r="C12" s="102" t="s">
        <v>37</v>
      </c>
      <c r="D12" s="102" t="s">
        <v>38</v>
      </c>
      <c r="E12" s="96"/>
      <c r="F12" s="102" t="s">
        <v>32</v>
      </c>
      <c r="G12" s="102" t="s">
        <v>37</v>
      </c>
      <c r="H12" s="102" t="s">
        <v>38</v>
      </c>
      <c r="I12" s="96"/>
      <c r="O12" s="228" t="s">
        <v>196</v>
      </c>
      <c r="P12" s="73">
        <v>8</v>
      </c>
    </row>
    <row r="13" spans="2:21" s="73" customFormat="1" ht="18" customHeight="1">
      <c r="B13" s="196">
        <f ca="1">YEAR(TODAY())+VLOOKUP(D4,O4:P34,2,0)</f>
        <v>2018</v>
      </c>
      <c r="C13" s="197">
        <f ca="1">IF(B13="",0,FV($H$4,B13-YEAR(TODAY()),,-($H$3*12),))</f>
        <v>300000</v>
      </c>
      <c r="D13" s="198">
        <f ca="1">FV($D$8,1,,-(O1-C13),)</f>
        <v>5179400</v>
      </c>
      <c r="E13" s="96"/>
      <c r="F13" s="196">
        <f ca="1">YEAR(TODAY())+VLOOKUP(D4,O4:P34,2,0)</f>
        <v>2018</v>
      </c>
      <c r="G13" s="197">
        <f ca="1">IF(F13="",0,FV($H$4,F13-YEAR(TODAY()),,-($H$3*12),))</f>
        <v>300000</v>
      </c>
      <c r="H13" s="198">
        <f ca="1">FV($J$8,1,,-(O2-G13),)</f>
        <v>4958688</v>
      </c>
      <c r="I13" s="96"/>
      <c r="J13" s="73">
        <v>1</v>
      </c>
      <c r="O13" s="228" t="s">
        <v>197</v>
      </c>
      <c r="P13" s="73">
        <v>9</v>
      </c>
      <c r="R13" s="73" t="str">
        <f ca="1">IF(D13&lt;=0,"YES","")</f>
        <v/>
      </c>
      <c r="S13" s="73">
        <v>1</v>
      </c>
      <c r="T13" s="73" t="str">
        <f ca="1">IF(H13&lt;=0,"YES","")</f>
        <v/>
      </c>
      <c r="U13" s="73">
        <v>1</v>
      </c>
    </row>
    <row r="14" spans="2:21" s="73" customFormat="1" ht="18" customHeight="1">
      <c r="B14" s="196">
        <f t="shared" ref="B14:B45" ca="1" si="0">IF(OR(B13="",J14&gt;$D$2),"",B13+1)</f>
        <v>2019</v>
      </c>
      <c r="C14" s="197">
        <f ca="1">IF(B14="","",FV($H$4,1,,-C13,))</f>
        <v>321000</v>
      </c>
      <c r="D14" s="198">
        <f ca="1">IFERROR(IF(B14="","",FV($D$8,1,,-(D13-C14),)),"")</f>
        <v>5353956.8000000007</v>
      </c>
      <c r="E14" s="96"/>
      <c r="F14" s="196">
        <f t="shared" ref="F14:F45" ca="1" si="1">IF(OR(F13="",J14&gt;$D$2),"",F13+1)</f>
        <v>2019</v>
      </c>
      <c r="G14" s="197">
        <f ca="1">IF(F14="","",FV($H$4,1,,-G13,))</f>
        <v>321000</v>
      </c>
      <c r="H14" s="198">
        <f ca="1">IFERROR(IF(F14="","",FV($J$8,1,,-(H13-G14),)),"")</f>
        <v>4892946.3475200003</v>
      </c>
      <c r="I14" s="96"/>
      <c r="J14" s="73">
        <v>2</v>
      </c>
      <c r="O14" s="228" t="s">
        <v>175</v>
      </c>
      <c r="P14" s="73">
        <v>10</v>
      </c>
      <c r="R14" s="73" t="str">
        <f t="shared" ref="R14:R62" ca="1" si="2">IF(D14&lt;=0,"YES","")</f>
        <v/>
      </c>
      <c r="S14" s="73">
        <v>2</v>
      </c>
      <c r="T14" s="73" t="str">
        <f t="shared" ref="T14:T62" ca="1" si="3">IF(H14&lt;=0,"YES","")</f>
        <v/>
      </c>
      <c r="U14" s="73">
        <v>2</v>
      </c>
    </row>
    <row r="15" spans="2:21" s="73" customFormat="1" ht="18" customHeight="1">
      <c r="B15" s="196">
        <f t="shared" ca="1" si="0"/>
        <v>2020</v>
      </c>
      <c r="C15" s="197">
        <f t="shared" ref="C15:C62" ca="1" si="4">IF(B15="","",FV($H$4,1,,-C14,))</f>
        <v>343470</v>
      </c>
      <c r="D15" s="198">
        <f t="shared" ref="D15:D62" ca="1" si="5">IFERROR(IF(B15="","",FV($D$8,1,,-(D14-C15),)),"")</f>
        <v>5521556.4536000015</v>
      </c>
      <c r="E15" s="96"/>
      <c r="F15" s="196">
        <f t="shared" ca="1" si="1"/>
        <v>2020</v>
      </c>
      <c r="G15" s="197">
        <f t="shared" ref="G15:G62" ca="1" si="6">IF(F15="","",FV($H$4,1,,-G14,))</f>
        <v>343470</v>
      </c>
      <c r="H15" s="198">
        <f t="shared" ref="H15:H62" ca="1" si="7">IFERROR(IF(F15="","",FV($J$8,1,,-(H14-G15),)),"")</f>
        <v>4799879.5256875008</v>
      </c>
      <c r="I15" s="96"/>
      <c r="J15" s="73">
        <v>3</v>
      </c>
      <c r="O15" s="228" t="s">
        <v>176</v>
      </c>
      <c r="P15" s="73">
        <v>11</v>
      </c>
      <c r="R15" s="73" t="str">
        <f t="shared" ca="1" si="2"/>
        <v/>
      </c>
      <c r="S15" s="73">
        <v>3</v>
      </c>
      <c r="T15" s="73" t="str">
        <f t="shared" ca="1" si="3"/>
        <v/>
      </c>
      <c r="U15" s="73">
        <v>3</v>
      </c>
    </row>
    <row r="16" spans="2:21" s="73" customFormat="1" ht="18" customHeight="1">
      <c r="B16" s="196">
        <f t="shared" ca="1" si="0"/>
        <v>2021</v>
      </c>
      <c r="C16" s="197">
        <f t="shared" ca="1" si="4"/>
        <v>367512.9</v>
      </c>
      <c r="D16" s="198">
        <f t="shared" ca="1" si="5"/>
        <v>5679755.9960672017</v>
      </c>
      <c r="E16" s="96"/>
      <c r="F16" s="196">
        <f t="shared" ca="1" si="1"/>
        <v>2021</v>
      </c>
      <c r="G16" s="197">
        <f t="shared" ca="1" si="6"/>
        <v>367512.9</v>
      </c>
      <c r="H16" s="198">
        <f t="shared" ca="1" si="7"/>
        <v>4676324.0847653402</v>
      </c>
      <c r="I16" s="103"/>
      <c r="J16" s="73">
        <v>4</v>
      </c>
      <c r="O16" s="228" t="s">
        <v>177</v>
      </c>
      <c r="P16" s="73">
        <v>12</v>
      </c>
      <c r="R16" s="73" t="str">
        <f t="shared" ca="1" si="2"/>
        <v/>
      </c>
      <c r="S16" s="73">
        <v>4</v>
      </c>
      <c r="T16" s="73" t="str">
        <f t="shared" ca="1" si="3"/>
        <v/>
      </c>
      <c r="U16" s="73">
        <v>4</v>
      </c>
    </row>
    <row r="17" spans="2:21" s="73" customFormat="1" ht="18" customHeight="1">
      <c r="B17" s="196">
        <f t="shared" ca="1" si="0"/>
        <v>2022</v>
      </c>
      <c r="C17" s="197">
        <f t="shared" ca="1" si="4"/>
        <v>393238.80300000007</v>
      </c>
      <c r="D17" s="198">
        <f t="shared" ca="1" si="5"/>
        <v>5825741.9467600565</v>
      </c>
      <c r="E17" s="96"/>
      <c r="F17" s="196">
        <f t="shared" ca="1" si="1"/>
        <v>2022</v>
      </c>
      <c r="G17" s="197">
        <f t="shared" ca="1" si="6"/>
        <v>393238.80300000007</v>
      </c>
      <c r="H17" s="198">
        <f t="shared" ca="1" si="7"/>
        <v>4518826.2956737038</v>
      </c>
      <c r="I17" s="103"/>
      <c r="J17" s="73">
        <v>5</v>
      </c>
      <c r="L17" s="76"/>
      <c r="O17" s="228" t="s">
        <v>178</v>
      </c>
      <c r="P17" s="73">
        <v>13</v>
      </c>
      <c r="R17" s="73" t="str">
        <f t="shared" ca="1" si="2"/>
        <v/>
      </c>
      <c r="S17" s="73">
        <v>5</v>
      </c>
      <c r="T17" s="73" t="str">
        <f t="shared" ca="1" si="3"/>
        <v/>
      </c>
      <c r="U17" s="73">
        <v>5</v>
      </c>
    </row>
    <row r="18" spans="2:21" s="73" customFormat="1" ht="18" customHeight="1">
      <c r="B18" s="196">
        <f t="shared" ca="1" si="0"/>
        <v>2023</v>
      </c>
      <c r="C18" s="197">
        <f t="shared" ca="1" si="4"/>
        <v>420765.51921000011</v>
      </c>
      <c r="D18" s="198">
        <f t="shared" ca="1" si="5"/>
        <v>5956284.0231601624</v>
      </c>
      <c r="E18" s="96"/>
      <c r="F18" s="196">
        <f t="shared" ca="1" si="1"/>
        <v>2023</v>
      </c>
      <c r="G18" s="197">
        <f t="shared" ca="1" si="6"/>
        <v>420765.51921000011</v>
      </c>
      <c r="H18" s="198">
        <f t="shared" ca="1" si="7"/>
        <v>4323618.0416002655</v>
      </c>
      <c r="I18" s="103"/>
      <c r="J18" s="73">
        <v>6</v>
      </c>
      <c r="O18" s="228" t="s">
        <v>179</v>
      </c>
      <c r="P18" s="73">
        <v>14</v>
      </c>
      <c r="R18" s="73" t="str">
        <f t="shared" ca="1" si="2"/>
        <v/>
      </c>
      <c r="S18" s="73">
        <v>6</v>
      </c>
      <c r="T18" s="73" t="str">
        <f t="shared" ca="1" si="3"/>
        <v/>
      </c>
      <c r="U18" s="73">
        <v>6</v>
      </c>
    </row>
    <row r="19" spans="2:21" ht="15">
      <c r="B19" s="196">
        <f t="shared" ca="1" si="0"/>
        <v>2024</v>
      </c>
      <c r="C19" s="197">
        <f t="shared" ca="1" si="4"/>
        <v>450219.10555470013</v>
      </c>
      <c r="D19" s="198">
        <f t="shared" ca="1" si="5"/>
        <v>6067683.5392012205</v>
      </c>
      <c r="F19" s="196">
        <f t="shared" ca="1" si="1"/>
        <v>2024</v>
      </c>
      <c r="G19" s="197">
        <f t="shared" ca="1" si="6"/>
        <v>450219.10555470013</v>
      </c>
      <c r="H19" s="198">
        <f t="shared" ca="1" si="7"/>
        <v>4086590.8134855134</v>
      </c>
      <c r="J19" s="73">
        <v>7</v>
      </c>
      <c r="O19" s="228" t="s">
        <v>180</v>
      </c>
      <c r="P19" s="73">
        <v>15</v>
      </c>
      <c r="R19" s="73" t="str">
        <f t="shared" ca="1" si="2"/>
        <v/>
      </c>
      <c r="S19" s="73">
        <v>7</v>
      </c>
      <c r="T19" s="73" t="str">
        <f t="shared" ca="1" si="3"/>
        <v/>
      </c>
      <c r="U19" s="73">
        <v>7</v>
      </c>
    </row>
    <row r="20" spans="2:21" ht="15">
      <c r="B20" s="196">
        <f t="shared" ca="1" si="0"/>
        <v>2025</v>
      </c>
      <c r="C20" s="197">
        <f t="shared" ca="1" si="4"/>
        <v>481734.44294352917</v>
      </c>
      <c r="D20" s="198">
        <f t="shared" ca="1" si="5"/>
        <v>6155715.9040759765</v>
      </c>
      <c r="F20" s="196">
        <f t="shared" ca="1" si="1"/>
        <v>2025</v>
      </c>
      <c r="G20" s="197">
        <f t="shared" ca="1" si="6"/>
        <v>481734.44294352917</v>
      </c>
      <c r="H20" s="198">
        <f t="shared" ca="1" si="7"/>
        <v>3803267.6651766151</v>
      </c>
      <c r="J20" s="73">
        <v>8</v>
      </c>
      <c r="O20" s="228" t="s">
        <v>181</v>
      </c>
      <c r="P20" s="73">
        <v>16</v>
      </c>
      <c r="R20" s="73" t="str">
        <f t="shared" ca="1" si="2"/>
        <v/>
      </c>
      <c r="S20" s="73">
        <v>8</v>
      </c>
      <c r="T20" s="73" t="str">
        <f t="shared" ca="1" si="3"/>
        <v/>
      </c>
      <c r="U20" s="73">
        <v>8</v>
      </c>
    </row>
    <row r="21" spans="2:21" ht="15">
      <c r="B21" s="196">
        <f t="shared" ca="1" si="0"/>
        <v>2026</v>
      </c>
      <c r="C21" s="197">
        <f t="shared" ca="1" si="4"/>
        <v>515455.85394957627</v>
      </c>
      <c r="D21" s="198">
        <f t="shared" ca="1" si="5"/>
        <v>6215566.5752392933</v>
      </c>
      <c r="F21" s="196">
        <f t="shared" ca="1" si="1"/>
        <v>2026</v>
      </c>
      <c r="G21" s="197">
        <f t="shared" ca="1" si="6"/>
        <v>515455.85394957627</v>
      </c>
      <c r="H21" s="198">
        <f t="shared" ca="1" si="7"/>
        <v>3468772.9733169749</v>
      </c>
      <c r="J21" s="73">
        <v>9</v>
      </c>
      <c r="O21" s="229" t="s">
        <v>182</v>
      </c>
      <c r="P21" s="73">
        <v>17</v>
      </c>
      <c r="R21" s="73" t="str">
        <f t="shared" ca="1" si="2"/>
        <v/>
      </c>
      <c r="S21" s="73">
        <v>9</v>
      </c>
      <c r="T21" s="73" t="str">
        <f t="shared" ca="1" si="3"/>
        <v/>
      </c>
      <c r="U21" s="73">
        <v>9</v>
      </c>
    </row>
    <row r="22" spans="2:21" ht="15">
      <c r="B22" s="196">
        <f t="shared" ca="1" si="0"/>
        <v>2027</v>
      </c>
      <c r="C22" s="197">
        <f t="shared" ca="1" si="4"/>
        <v>551537.76372604666</v>
      </c>
      <c r="D22" s="198">
        <f t="shared" ca="1" si="5"/>
        <v>6241759.7502875989</v>
      </c>
      <c r="F22" s="196">
        <f t="shared" ca="1" si="1"/>
        <v>2027</v>
      </c>
      <c r="G22" s="197">
        <f t="shared" ca="1" si="6"/>
        <v>551537.76372604666</v>
      </c>
      <c r="H22" s="198">
        <f t="shared" ca="1" si="7"/>
        <v>3077799.8355268128</v>
      </c>
      <c r="J22" s="73">
        <v>10</v>
      </c>
      <c r="O22" s="229" t="s">
        <v>183</v>
      </c>
      <c r="P22" s="73">
        <v>18</v>
      </c>
      <c r="R22" s="73" t="str">
        <f t="shared" ca="1" si="2"/>
        <v/>
      </c>
      <c r="S22" s="73">
        <v>10</v>
      </c>
      <c r="T22" s="73" t="str">
        <f t="shared" ca="1" si="3"/>
        <v/>
      </c>
      <c r="U22" s="73">
        <v>10</v>
      </c>
    </row>
    <row r="23" spans="2:21" ht="15">
      <c r="B23" s="196">
        <f t="shared" ca="1" si="0"/>
        <v>2028</v>
      </c>
      <c r="C23" s="197">
        <f t="shared" ca="1" si="4"/>
        <v>590145.40718687</v>
      </c>
      <c r="D23" s="198">
        <f t="shared" ca="1" si="5"/>
        <v>6228079.0060970029</v>
      </c>
      <c r="F23" s="196">
        <f t="shared" ca="1" si="1"/>
        <v>2028</v>
      </c>
      <c r="G23" s="197">
        <f t="shared" ca="1" si="6"/>
        <v>590145.40718687</v>
      </c>
      <c r="H23" s="198">
        <f t="shared" ca="1" si="7"/>
        <v>2624574.9280757732</v>
      </c>
      <c r="J23" s="73">
        <v>11</v>
      </c>
      <c r="O23" s="229" t="s">
        <v>184</v>
      </c>
      <c r="P23" s="73">
        <v>19</v>
      </c>
      <c r="R23" s="73" t="str">
        <f t="shared" ca="1" si="2"/>
        <v/>
      </c>
      <c r="S23" s="73">
        <v>11</v>
      </c>
      <c r="T23" s="73" t="str">
        <f t="shared" ca="1" si="3"/>
        <v/>
      </c>
      <c r="U23" s="73">
        <v>11</v>
      </c>
    </row>
    <row r="24" spans="2:21" ht="15">
      <c r="B24" s="196">
        <f t="shared" ca="1" si="0"/>
        <v>2029</v>
      </c>
      <c r="C24" s="197">
        <f t="shared" ca="1" si="4"/>
        <v>631455.58568995097</v>
      </c>
      <c r="D24" s="198">
        <f t="shared" ca="1" si="5"/>
        <v>6167479.0092885718</v>
      </c>
      <c r="F24" s="196">
        <f t="shared" ca="1" si="1"/>
        <v>2029</v>
      </c>
      <c r="G24" s="197">
        <f t="shared" ca="1" si="6"/>
        <v>631455.58568995097</v>
      </c>
      <c r="H24" s="198">
        <f t="shared" ca="1" si="7"/>
        <v>2102820.630990738</v>
      </c>
      <c r="J24" s="73">
        <v>12</v>
      </c>
      <c r="O24" s="229" t="s">
        <v>185</v>
      </c>
      <c r="P24" s="73">
        <v>20</v>
      </c>
      <c r="R24" s="73" t="str">
        <f t="shared" ca="1" si="2"/>
        <v/>
      </c>
      <c r="S24" s="73">
        <v>12</v>
      </c>
      <c r="T24" s="73" t="str">
        <f t="shared" ca="1" si="3"/>
        <v/>
      </c>
      <c r="U24" s="73">
        <v>12</v>
      </c>
    </row>
    <row r="25" spans="2:21" ht="15">
      <c r="B25" s="196">
        <f t="shared" ca="1" si="0"/>
        <v>2030</v>
      </c>
      <c r="C25" s="197">
        <f t="shared" ca="1" si="4"/>
        <v>675657.47668824752</v>
      </c>
      <c r="D25" s="198">
        <f t="shared" ca="1" si="5"/>
        <v>6051987.3289255584</v>
      </c>
      <c r="F25" s="196">
        <f t="shared" ca="1" si="1"/>
        <v>2030</v>
      </c>
      <c r="G25" s="197">
        <f t="shared" ca="1" si="6"/>
        <v>675657.47668824752</v>
      </c>
      <c r="H25" s="198">
        <f t="shared" ca="1" si="7"/>
        <v>1505714.2143152994</v>
      </c>
      <c r="J25" s="73">
        <v>13</v>
      </c>
      <c r="O25" s="229" t="s">
        <v>186</v>
      </c>
      <c r="P25" s="73">
        <v>21</v>
      </c>
      <c r="R25" s="73" t="str">
        <f t="shared" ca="1" si="2"/>
        <v/>
      </c>
      <c r="S25" s="73">
        <v>13</v>
      </c>
      <c r="T25" s="73" t="str">
        <f t="shared" ca="1" si="3"/>
        <v/>
      </c>
      <c r="U25" s="73">
        <v>13</v>
      </c>
    </row>
    <row r="26" spans="2:21" ht="15">
      <c r="B26" s="196">
        <f t="shared" ca="1" si="0"/>
        <v>2031</v>
      </c>
      <c r="C26" s="197">
        <f t="shared" ca="1" si="4"/>
        <v>722953.50005642488</v>
      </c>
      <c r="D26" s="198">
        <f t="shared" ca="1" si="5"/>
        <v>5872595.2794137858</v>
      </c>
      <c r="F26" s="196">
        <f t="shared" ca="1" si="1"/>
        <v>2031</v>
      </c>
      <c r="G26" s="197">
        <f t="shared" ca="1" si="6"/>
        <v>722953.50005642488</v>
      </c>
      <c r="H26" s="198">
        <f t="shared" ca="1" si="7"/>
        <v>825843.86397168296</v>
      </c>
      <c r="J26" s="73">
        <v>14</v>
      </c>
      <c r="O26" s="229" t="s">
        <v>187</v>
      </c>
      <c r="P26" s="73">
        <v>22</v>
      </c>
      <c r="R26" s="73" t="str">
        <f t="shared" ca="1" si="2"/>
        <v/>
      </c>
      <c r="S26" s="73">
        <v>14</v>
      </c>
      <c r="T26" s="73" t="str">
        <f t="shared" ca="1" si="3"/>
        <v/>
      </c>
      <c r="U26" s="73">
        <v>14</v>
      </c>
    </row>
    <row r="27" spans="2:21" ht="15">
      <c r="B27" s="196">
        <f t="shared" ca="1" si="0"/>
        <v>2032</v>
      </c>
      <c r="C27" s="197">
        <f t="shared" ca="1" si="4"/>
        <v>773560.24506037461</v>
      </c>
      <c r="D27" s="198">
        <f t="shared" ca="1" si="5"/>
        <v>5619136.6078574592</v>
      </c>
      <c r="F27" s="196">
        <f t="shared" ca="1" si="1"/>
        <v>2032</v>
      </c>
      <c r="G27" s="197">
        <f t="shared" ca="1" si="6"/>
        <v>773560.24506037461</v>
      </c>
      <c r="H27" s="198">
        <f t="shared" ca="1" si="7"/>
        <v>55161.309296186766</v>
      </c>
      <c r="J27" s="73">
        <v>15</v>
      </c>
      <c r="O27" s="229" t="s">
        <v>188</v>
      </c>
      <c r="P27" s="73">
        <v>23</v>
      </c>
      <c r="R27" s="73" t="str">
        <f t="shared" ca="1" si="2"/>
        <v/>
      </c>
      <c r="S27" s="73">
        <v>15</v>
      </c>
      <c r="T27" s="73" t="str">
        <f t="shared" ca="1" si="3"/>
        <v/>
      </c>
      <c r="U27" s="73">
        <v>15</v>
      </c>
    </row>
    <row r="28" spans="2:21" ht="15">
      <c r="B28" s="196">
        <f t="shared" ca="1" si="0"/>
        <v>2033</v>
      </c>
      <c r="C28" s="197">
        <f t="shared" ca="1" si="4"/>
        <v>827709.46221460088</v>
      </c>
      <c r="D28" s="198">
        <f t="shared" ca="1" si="5"/>
        <v>5280152.7144984296</v>
      </c>
      <c r="F28" s="196">
        <f t="shared" ca="1" si="1"/>
        <v>2033</v>
      </c>
      <c r="G28" s="197">
        <f t="shared" ca="1" si="6"/>
        <v>827709.46221460088</v>
      </c>
      <c r="H28" s="198">
        <f t="shared" ca="1" si="7"/>
        <v>-815069.2032550436</v>
      </c>
      <c r="J28" s="73">
        <v>16</v>
      </c>
      <c r="O28" s="229" t="s">
        <v>189</v>
      </c>
      <c r="P28" s="73">
        <v>24</v>
      </c>
      <c r="R28" s="73" t="str">
        <f t="shared" ca="1" si="2"/>
        <v/>
      </c>
      <c r="S28" s="73">
        <v>16</v>
      </c>
      <c r="T28" s="73" t="str">
        <f t="shared" ca="1" si="3"/>
        <v>YES</v>
      </c>
      <c r="U28" s="73">
        <v>16</v>
      </c>
    </row>
    <row r="29" spans="2:21" ht="15">
      <c r="B29" s="196">
        <f t="shared" ca="1" si="0"/>
        <v>2034</v>
      </c>
      <c r="C29" s="197">
        <f t="shared" ca="1" si="4"/>
        <v>885649.12456962303</v>
      </c>
      <c r="D29" s="198">
        <f t="shared" ca="1" si="5"/>
        <v>4842742.9561015451</v>
      </c>
      <c r="F29" s="196">
        <f t="shared" ca="1" si="1"/>
        <v>2034</v>
      </c>
      <c r="G29" s="197">
        <f t="shared" ca="1" si="6"/>
        <v>885649.12456962303</v>
      </c>
      <c r="H29" s="198">
        <f t="shared" ca="1" si="7"/>
        <v>-1794325.8645881363</v>
      </c>
      <c r="J29" s="73">
        <v>17</v>
      </c>
      <c r="O29" s="229" t="s">
        <v>190</v>
      </c>
      <c r="P29" s="73">
        <v>25</v>
      </c>
      <c r="R29" s="73" t="str">
        <f t="shared" ca="1" si="2"/>
        <v/>
      </c>
      <c r="S29" s="73">
        <v>17</v>
      </c>
      <c r="T29" s="73" t="str">
        <f t="shared" ca="1" si="3"/>
        <v>YES</v>
      </c>
      <c r="U29" s="73">
        <v>17</v>
      </c>
    </row>
    <row r="30" spans="2:21" ht="15">
      <c r="B30" s="196">
        <f t="shared" ca="1" si="0"/>
        <v>2035</v>
      </c>
      <c r="C30" s="197">
        <f t="shared" ca="1" si="4"/>
        <v>947644.5632894967</v>
      </c>
      <c r="D30" s="198">
        <f t="shared" ca="1" si="5"/>
        <v>4292398.4288788782</v>
      </c>
      <c r="F30" s="196">
        <f t="shared" ca="1" si="1"/>
        <v>2035</v>
      </c>
      <c r="G30" s="197">
        <f t="shared" ca="1" si="6"/>
        <v>947644.5632894967</v>
      </c>
      <c r="H30" s="198">
        <f t="shared" ca="1" si="7"/>
        <v>-2892888.4802280175</v>
      </c>
      <c r="J30" s="73">
        <v>18</v>
      </c>
      <c r="O30" s="229" t="s">
        <v>191</v>
      </c>
      <c r="P30" s="73">
        <v>26</v>
      </c>
      <c r="R30" s="73" t="str">
        <f t="shared" ca="1" si="2"/>
        <v/>
      </c>
      <c r="S30" s="73">
        <v>18</v>
      </c>
      <c r="T30" s="73" t="str">
        <f t="shared" ca="1" si="3"/>
        <v>YES</v>
      </c>
      <c r="U30" s="73">
        <v>18</v>
      </c>
    </row>
    <row r="31" spans="2:21" ht="15">
      <c r="B31" s="196">
        <f t="shared" ca="1" si="0"/>
        <v>2036</v>
      </c>
      <c r="C31" s="197">
        <f t="shared" ca="1" si="4"/>
        <v>1013979.6827197615</v>
      </c>
      <c r="D31" s="198">
        <f t="shared" ca="1" si="5"/>
        <v>3612817.458267347</v>
      </c>
      <c r="F31" s="196">
        <f t="shared" ca="1" si="1"/>
        <v>2036</v>
      </c>
      <c r="G31" s="197">
        <f t="shared" ca="1" si="6"/>
        <v>1013979.6827197615</v>
      </c>
      <c r="H31" s="198">
        <f t="shared" ca="1" si="7"/>
        <v>-4121902.1866364246</v>
      </c>
      <c r="J31" s="73">
        <v>19</v>
      </c>
      <c r="O31" s="229" t="s">
        <v>192</v>
      </c>
      <c r="P31" s="73">
        <v>27</v>
      </c>
      <c r="R31" s="73" t="str">
        <f t="shared" ca="1" si="2"/>
        <v/>
      </c>
      <c r="S31" s="73">
        <v>19</v>
      </c>
      <c r="T31" s="73" t="str">
        <f t="shared" ca="1" si="3"/>
        <v>YES</v>
      </c>
      <c r="U31" s="73">
        <v>19</v>
      </c>
    </row>
    <row r="32" spans="2:21" ht="15">
      <c r="B32" s="196">
        <f t="shared" ca="1" si="0"/>
        <v>2037</v>
      </c>
      <c r="C32" s="197">
        <f t="shared" ca="1" si="4"/>
        <v>1084958.260510145</v>
      </c>
      <c r="D32" s="198">
        <f t="shared" ca="1" si="5"/>
        <v>2785700.8359284368</v>
      </c>
      <c r="F32" s="196">
        <f t="shared" ca="1" si="1"/>
        <v>2037</v>
      </c>
      <c r="G32" s="197">
        <f t="shared" ca="1" si="6"/>
        <v>1084958.260510145</v>
      </c>
      <c r="H32" s="198">
        <f t="shared" ca="1" si="7"/>
        <v>-5493446.0461575165</v>
      </c>
      <c r="J32" s="73">
        <v>20</v>
      </c>
      <c r="O32" s="229" t="s">
        <v>193</v>
      </c>
      <c r="P32" s="73">
        <v>28</v>
      </c>
      <c r="R32" s="73" t="str">
        <f t="shared" ca="1" si="2"/>
        <v/>
      </c>
      <c r="S32" s="73">
        <v>20</v>
      </c>
      <c r="T32" s="73" t="str">
        <f t="shared" ca="1" si="3"/>
        <v>YES</v>
      </c>
      <c r="U32" s="73">
        <v>20</v>
      </c>
    </row>
    <row r="33" spans="2:21" ht="15">
      <c r="B33" s="196">
        <f t="shared" ca="1" si="0"/>
        <v>2038</v>
      </c>
      <c r="C33" s="197">
        <f t="shared" ca="1" si="4"/>
        <v>1160905.3387458553</v>
      </c>
      <c r="D33" s="198">
        <f t="shared" ca="1" si="5"/>
        <v>1790524.6378952051</v>
      </c>
      <c r="F33" s="196">
        <f t="shared" ca="1" si="1"/>
        <v>2038</v>
      </c>
      <c r="G33" s="197">
        <f t="shared" ca="1" si="6"/>
        <v>1160905.3387458553</v>
      </c>
      <c r="H33" s="198">
        <f t="shared" ca="1" si="7"/>
        <v>-7020606.8851284524</v>
      </c>
      <c r="J33" s="73">
        <v>21</v>
      </c>
      <c r="O33" s="229" t="s">
        <v>194</v>
      </c>
      <c r="P33" s="71">
        <v>29</v>
      </c>
      <c r="R33" s="73" t="str">
        <f t="shared" ca="1" si="2"/>
        <v/>
      </c>
      <c r="S33" s="73">
        <v>21</v>
      </c>
      <c r="T33" s="73" t="str">
        <f t="shared" ca="1" si="3"/>
        <v>YES</v>
      </c>
      <c r="U33" s="73">
        <v>21</v>
      </c>
    </row>
    <row r="34" spans="2:21" ht="15">
      <c r="B34" s="196">
        <f t="shared" ca="1" si="0"/>
        <v>2039</v>
      </c>
      <c r="C34" s="197">
        <f t="shared" ca="1" si="4"/>
        <v>1242168.7124580652</v>
      </c>
      <c r="D34" s="198">
        <f t="shared" ca="1" si="5"/>
        <v>604288.22983172815</v>
      </c>
      <c r="F34" s="196">
        <f t="shared" ca="1" si="1"/>
        <v>2039</v>
      </c>
      <c r="G34" s="197">
        <f t="shared" ca="1" si="6"/>
        <v>1242168.7124580652</v>
      </c>
      <c r="H34" s="198">
        <f t="shared" ca="1" si="7"/>
        <v>-8717558.7664776798</v>
      </c>
      <c r="J34" s="73">
        <v>22</v>
      </c>
      <c r="O34" s="229" t="s">
        <v>195</v>
      </c>
      <c r="P34" s="71">
        <v>30</v>
      </c>
      <c r="R34" s="73" t="str">
        <f t="shared" ca="1" si="2"/>
        <v/>
      </c>
      <c r="S34" s="73">
        <v>22</v>
      </c>
      <c r="T34" s="73" t="str">
        <f t="shared" ca="1" si="3"/>
        <v>YES</v>
      </c>
      <c r="U34" s="73">
        <v>22</v>
      </c>
    </row>
    <row r="35" spans="2:21" ht="15">
      <c r="B35" s="196">
        <f t="shared" ca="1" si="0"/>
        <v>2040</v>
      </c>
      <c r="C35" s="197">
        <f t="shared" ca="1" si="4"/>
        <v>1329120.52233013</v>
      </c>
      <c r="D35" s="198">
        <f t="shared" ca="1" si="5"/>
        <v>-798765.18633323885</v>
      </c>
      <c r="F35" s="196">
        <f t="shared" ca="1" si="1"/>
        <v>2040</v>
      </c>
      <c r="G35" s="197">
        <f t="shared" ca="1" si="6"/>
        <v>1329120.52233013</v>
      </c>
      <c r="H35" s="198">
        <f t="shared" ca="1" si="7"/>
        <v>-10599648.516863791</v>
      </c>
      <c r="J35" s="73">
        <v>23</v>
      </c>
      <c r="R35" s="73" t="str">
        <f t="shared" ca="1" si="2"/>
        <v>YES</v>
      </c>
      <c r="S35" s="73">
        <v>23</v>
      </c>
      <c r="T35" s="73" t="str">
        <f t="shared" ca="1" si="3"/>
        <v>YES</v>
      </c>
      <c r="U35" s="73">
        <v>23</v>
      </c>
    </row>
    <row r="36" spans="2:21" ht="15">
      <c r="B36" s="196">
        <f t="shared" ca="1" si="0"/>
        <v>2041</v>
      </c>
      <c r="C36" s="197">
        <f t="shared" ca="1" si="4"/>
        <v>1422158.9588932393</v>
      </c>
      <c r="D36" s="198">
        <f t="shared" ca="1" si="5"/>
        <v>-2447458.4080395792</v>
      </c>
      <c r="F36" s="196">
        <f t="shared" ca="1" si="1"/>
        <v>2041</v>
      </c>
      <c r="G36" s="197">
        <f t="shared" ca="1" si="6"/>
        <v>1422158.9588932393</v>
      </c>
      <c r="H36" s="198">
        <f t="shared" ca="1" si="7"/>
        <v>-12683487.759222697</v>
      </c>
      <c r="J36" s="73">
        <v>24</v>
      </c>
      <c r="R36" s="73" t="str">
        <f t="shared" ca="1" si="2"/>
        <v>YES</v>
      </c>
      <c r="S36" s="73">
        <v>24</v>
      </c>
      <c r="T36" s="73" t="str">
        <f t="shared" ca="1" si="3"/>
        <v>YES</v>
      </c>
      <c r="U36" s="73">
        <v>24</v>
      </c>
    </row>
    <row r="37" spans="2:21" ht="15">
      <c r="B37" s="196">
        <f t="shared" ca="1" si="0"/>
        <v>2042</v>
      </c>
      <c r="C37" s="197">
        <f t="shared" ca="1" si="4"/>
        <v>1521710.086015766</v>
      </c>
      <c r="D37" s="198">
        <f t="shared" ca="1" si="5"/>
        <v>-4374023.6804489903</v>
      </c>
      <c r="F37" s="196">
        <f t="shared" ca="1" si="1"/>
        <v>2042</v>
      </c>
      <c r="G37" s="197">
        <f t="shared" ca="1" si="6"/>
        <v>1521710.086015766</v>
      </c>
      <c r="H37" s="198">
        <f t="shared" ca="1" si="7"/>
        <v>-14987051.934640389</v>
      </c>
      <c r="J37" s="73">
        <v>25</v>
      </c>
      <c r="R37" s="73" t="str">
        <f t="shared" ca="1" si="2"/>
        <v>YES</v>
      </c>
      <c r="S37" s="73">
        <v>25</v>
      </c>
      <c r="T37" s="73" t="str">
        <f t="shared" ca="1" si="3"/>
        <v>YES</v>
      </c>
      <c r="U37" s="73">
        <v>25</v>
      </c>
    </row>
    <row r="38" spans="2:21" ht="15">
      <c r="B38" s="196">
        <f t="shared" ca="1" si="0"/>
        <v>2043</v>
      </c>
      <c r="C38" s="197">
        <f t="shared" ca="1" si="4"/>
        <v>1628229.7920368698</v>
      </c>
      <c r="D38" s="198">
        <f t="shared" ca="1" si="5"/>
        <v>-6614483.3266794179</v>
      </c>
      <c r="F38" s="196">
        <f t="shared" ca="1" si="1"/>
        <v>2043</v>
      </c>
      <c r="G38" s="197">
        <f t="shared" ca="1" si="6"/>
        <v>1628229.7920368698</v>
      </c>
      <c r="H38" s="198">
        <f t="shared" ca="1" si="7"/>
        <v>-17529786.832913574</v>
      </c>
      <c r="J38" s="73">
        <v>26</v>
      </c>
      <c r="R38" s="73" t="str">
        <f t="shared" ca="1" si="2"/>
        <v>YES</v>
      </c>
      <c r="S38" s="73">
        <v>26</v>
      </c>
      <c r="T38" s="73" t="str">
        <f t="shared" ca="1" si="3"/>
        <v>YES</v>
      </c>
      <c r="U38" s="73">
        <v>26</v>
      </c>
    </row>
    <row r="39" spans="2:21" ht="15">
      <c r="B39" s="196">
        <f t="shared" ca="1" si="0"/>
        <v>2044</v>
      </c>
      <c r="C39" s="197">
        <f t="shared" ca="1" si="4"/>
        <v>1742205.8774794508</v>
      </c>
      <c r="D39" s="198">
        <f t="shared" ca="1" si="5"/>
        <v>-9209071.5029830746</v>
      </c>
      <c r="F39" s="196">
        <f t="shared" ca="1" si="1"/>
        <v>2044</v>
      </c>
      <c r="G39" s="197">
        <f t="shared" ca="1" si="6"/>
        <v>1742205.8774794508</v>
      </c>
      <c r="H39" s="198">
        <f t="shared" ca="1" si="7"/>
        <v>-20332723.189173058</v>
      </c>
      <c r="J39" s="73">
        <v>27</v>
      </c>
      <c r="R39" s="73" t="str">
        <f t="shared" ca="1" si="2"/>
        <v>YES</v>
      </c>
      <c r="S39" s="73">
        <v>27</v>
      </c>
      <c r="T39" s="73" t="str">
        <f t="shared" ca="1" si="3"/>
        <v>YES</v>
      </c>
      <c r="U39" s="73">
        <v>27</v>
      </c>
    </row>
    <row r="40" spans="2:21" ht="15">
      <c r="B40" s="196">
        <f t="shared" ca="1" si="0"/>
        <v>2045</v>
      </c>
      <c r="C40" s="197">
        <f t="shared" ca="1" si="4"/>
        <v>1864160.2889030124</v>
      </c>
      <c r="D40" s="198">
        <f t="shared" ca="1" si="5"/>
        <v>-12202701.43465847</v>
      </c>
      <c r="F40" s="196">
        <f t="shared" ca="1" si="1"/>
        <v>2045</v>
      </c>
      <c r="G40" s="197">
        <f t="shared" ca="1" si="6"/>
        <v>1864160.2889030124</v>
      </c>
      <c r="H40" s="198">
        <f t="shared" ca="1" si="7"/>
        <v>-23418599.944709376</v>
      </c>
      <c r="J40" s="73">
        <v>28</v>
      </c>
      <c r="R40" s="73" t="str">
        <f t="shared" ca="1" si="2"/>
        <v>YES</v>
      </c>
      <c r="S40" s="73">
        <v>28</v>
      </c>
      <c r="T40" s="73" t="str">
        <f t="shared" ca="1" si="3"/>
        <v>YES</v>
      </c>
      <c r="U40" s="73">
        <v>28</v>
      </c>
    </row>
    <row r="41" spans="2:21" ht="15">
      <c r="B41" s="196">
        <f t="shared" ca="1" si="0"/>
        <v>2046</v>
      </c>
      <c r="C41" s="197">
        <f t="shared" ca="1" si="4"/>
        <v>1994651.5091262234</v>
      </c>
      <c r="D41" s="198">
        <f t="shared" ca="1" si="5"/>
        <v>-15645482.944050733</v>
      </c>
      <c r="F41" s="196">
        <f t="shared" ca="1" si="1"/>
        <v>2046</v>
      </c>
      <c r="G41" s="197">
        <f t="shared" ca="1" si="6"/>
        <v>1994651.5091262234</v>
      </c>
      <c r="H41" s="198">
        <f t="shared" ca="1" si="7"/>
        <v>-26811996.813854709</v>
      </c>
      <c r="J41" s="73">
        <v>29</v>
      </c>
      <c r="R41" s="73" t="str">
        <f t="shared" ca="1" si="2"/>
        <v>YES</v>
      </c>
      <c r="S41" s="73">
        <v>29</v>
      </c>
      <c r="T41" s="73" t="str">
        <f t="shared" ca="1" si="3"/>
        <v>YES</v>
      </c>
      <c r="U41" s="73">
        <v>29</v>
      </c>
    </row>
    <row r="42" spans="2:21" ht="15">
      <c r="B42" s="196">
        <f t="shared" ca="1" si="0"/>
        <v>2047</v>
      </c>
      <c r="C42" s="197">
        <f t="shared" ca="1" si="4"/>
        <v>2134277.1147650592</v>
      </c>
      <c r="D42" s="198">
        <f t="shared" ca="1" si="5"/>
        <v>-19593295.584815003</v>
      </c>
      <c r="F42" s="196">
        <f t="shared" ca="1" si="1"/>
        <v>2047</v>
      </c>
      <c r="G42" s="197">
        <f t="shared" ca="1" si="6"/>
        <v>2134277.1147650592</v>
      </c>
      <c r="H42" s="198">
        <f t="shared" ca="1" si="7"/>
        <v>-30539476.845651001</v>
      </c>
      <c r="J42" s="73">
        <v>30</v>
      </c>
      <c r="R42" s="73" t="str">
        <f t="shared" ca="1" si="2"/>
        <v>YES</v>
      </c>
      <c r="S42" s="73">
        <v>30</v>
      </c>
      <c r="T42" s="73" t="str">
        <f t="shared" ca="1" si="3"/>
        <v>YES</v>
      </c>
      <c r="U42" s="73">
        <v>30</v>
      </c>
    </row>
    <row r="43" spans="2:21" ht="15">
      <c r="B43" s="196" t="str">
        <f t="shared" ca="1" si="0"/>
        <v/>
      </c>
      <c r="C43" s="197" t="str">
        <f t="shared" ca="1" si="4"/>
        <v/>
      </c>
      <c r="D43" s="198" t="str">
        <f t="shared" ca="1" si="5"/>
        <v/>
      </c>
      <c r="F43" s="196" t="str">
        <f t="shared" ca="1" si="1"/>
        <v/>
      </c>
      <c r="G43" s="197" t="str">
        <f t="shared" ca="1" si="6"/>
        <v/>
      </c>
      <c r="H43" s="198" t="str">
        <f t="shared" ca="1" si="7"/>
        <v/>
      </c>
      <c r="J43" s="73">
        <v>31</v>
      </c>
      <c r="R43" s="73" t="str">
        <f t="shared" ca="1" si="2"/>
        <v/>
      </c>
      <c r="S43" s="73">
        <v>31</v>
      </c>
      <c r="T43" s="73" t="str">
        <f t="shared" ca="1" si="3"/>
        <v/>
      </c>
      <c r="U43" s="73">
        <v>31</v>
      </c>
    </row>
    <row r="44" spans="2:21" ht="15">
      <c r="B44" s="196" t="str">
        <f t="shared" ca="1" si="0"/>
        <v/>
      </c>
      <c r="C44" s="197" t="str">
        <f t="shared" ca="1" si="4"/>
        <v/>
      </c>
      <c r="D44" s="198" t="str">
        <f t="shared" ca="1" si="5"/>
        <v/>
      </c>
      <c r="F44" s="196" t="str">
        <f t="shared" ca="1" si="1"/>
        <v/>
      </c>
      <c r="G44" s="197" t="str">
        <f t="shared" ca="1" si="6"/>
        <v/>
      </c>
      <c r="H44" s="198" t="str">
        <f t="shared" ca="1" si="7"/>
        <v/>
      </c>
      <c r="J44" s="73">
        <v>32</v>
      </c>
      <c r="R44" s="73" t="str">
        <f t="shared" ca="1" si="2"/>
        <v/>
      </c>
      <c r="S44" s="73">
        <v>32</v>
      </c>
      <c r="T44" s="73" t="str">
        <f t="shared" ca="1" si="3"/>
        <v/>
      </c>
      <c r="U44" s="73">
        <v>32</v>
      </c>
    </row>
    <row r="45" spans="2:21" ht="15">
      <c r="B45" s="196" t="str">
        <f t="shared" ca="1" si="0"/>
        <v/>
      </c>
      <c r="C45" s="197" t="str">
        <f t="shared" ca="1" si="4"/>
        <v/>
      </c>
      <c r="D45" s="198" t="str">
        <f t="shared" ca="1" si="5"/>
        <v/>
      </c>
      <c r="F45" s="196" t="str">
        <f t="shared" ca="1" si="1"/>
        <v/>
      </c>
      <c r="G45" s="197" t="str">
        <f t="shared" ca="1" si="6"/>
        <v/>
      </c>
      <c r="H45" s="198" t="str">
        <f t="shared" ca="1" si="7"/>
        <v/>
      </c>
      <c r="J45" s="73">
        <v>33</v>
      </c>
      <c r="R45" s="73" t="str">
        <f t="shared" ca="1" si="2"/>
        <v/>
      </c>
      <c r="S45" s="73">
        <v>33</v>
      </c>
      <c r="T45" s="73" t="str">
        <f t="shared" ca="1" si="3"/>
        <v/>
      </c>
      <c r="U45" s="73">
        <v>33</v>
      </c>
    </row>
    <row r="46" spans="2:21" ht="15">
      <c r="B46" s="196" t="str">
        <f t="shared" ref="B46:B62" ca="1" si="8">IF(OR(B45="",J46&gt;$D$2),"",B45+1)</f>
        <v/>
      </c>
      <c r="C46" s="197" t="str">
        <f t="shared" ca="1" si="4"/>
        <v/>
      </c>
      <c r="D46" s="198" t="str">
        <f t="shared" ca="1" si="5"/>
        <v/>
      </c>
      <c r="F46" s="196" t="str">
        <f t="shared" ref="F46:F62" ca="1" si="9">IF(OR(F45="",J46&gt;$D$2),"",F45+1)</f>
        <v/>
      </c>
      <c r="G46" s="197" t="str">
        <f t="shared" ca="1" si="6"/>
        <v/>
      </c>
      <c r="H46" s="198" t="str">
        <f t="shared" ca="1" si="7"/>
        <v/>
      </c>
      <c r="J46" s="73">
        <v>34</v>
      </c>
      <c r="R46" s="73" t="str">
        <f t="shared" ca="1" si="2"/>
        <v/>
      </c>
      <c r="S46" s="73">
        <v>34</v>
      </c>
      <c r="T46" s="73" t="str">
        <f t="shared" ca="1" si="3"/>
        <v/>
      </c>
      <c r="U46" s="73">
        <v>34</v>
      </c>
    </row>
    <row r="47" spans="2:21" ht="15">
      <c r="B47" s="196" t="str">
        <f t="shared" ca="1" si="8"/>
        <v/>
      </c>
      <c r="C47" s="197" t="str">
        <f t="shared" ca="1" si="4"/>
        <v/>
      </c>
      <c r="D47" s="198" t="str">
        <f t="shared" ca="1" si="5"/>
        <v/>
      </c>
      <c r="F47" s="196" t="str">
        <f t="shared" ca="1" si="9"/>
        <v/>
      </c>
      <c r="G47" s="197" t="str">
        <f t="shared" ca="1" si="6"/>
        <v/>
      </c>
      <c r="H47" s="198" t="str">
        <f t="shared" ca="1" si="7"/>
        <v/>
      </c>
      <c r="J47" s="73">
        <v>35</v>
      </c>
      <c r="R47" s="73" t="str">
        <f t="shared" ca="1" si="2"/>
        <v/>
      </c>
      <c r="S47" s="73">
        <v>35</v>
      </c>
      <c r="T47" s="73" t="str">
        <f t="shared" ca="1" si="3"/>
        <v/>
      </c>
      <c r="U47" s="73">
        <v>35</v>
      </c>
    </row>
    <row r="48" spans="2:21" ht="15">
      <c r="B48" s="196" t="str">
        <f t="shared" ca="1" si="8"/>
        <v/>
      </c>
      <c r="C48" s="197" t="str">
        <f t="shared" ca="1" si="4"/>
        <v/>
      </c>
      <c r="D48" s="198" t="str">
        <f t="shared" ca="1" si="5"/>
        <v/>
      </c>
      <c r="F48" s="196" t="str">
        <f t="shared" ca="1" si="9"/>
        <v/>
      </c>
      <c r="G48" s="197" t="str">
        <f t="shared" ca="1" si="6"/>
        <v/>
      </c>
      <c r="H48" s="198" t="str">
        <f t="shared" ca="1" si="7"/>
        <v/>
      </c>
      <c r="J48" s="73">
        <v>36</v>
      </c>
      <c r="R48" s="73" t="str">
        <f t="shared" ca="1" si="2"/>
        <v/>
      </c>
      <c r="S48" s="73">
        <v>36</v>
      </c>
      <c r="T48" s="73" t="str">
        <f t="shared" ca="1" si="3"/>
        <v/>
      </c>
      <c r="U48" s="73">
        <v>36</v>
      </c>
    </row>
    <row r="49" spans="2:21" ht="15">
      <c r="B49" s="196" t="str">
        <f t="shared" ca="1" si="8"/>
        <v/>
      </c>
      <c r="C49" s="197" t="str">
        <f t="shared" ca="1" si="4"/>
        <v/>
      </c>
      <c r="D49" s="198" t="str">
        <f t="shared" ca="1" si="5"/>
        <v/>
      </c>
      <c r="F49" s="196" t="str">
        <f t="shared" ca="1" si="9"/>
        <v/>
      </c>
      <c r="G49" s="197" t="str">
        <f t="shared" ca="1" si="6"/>
        <v/>
      </c>
      <c r="H49" s="198" t="str">
        <f t="shared" ca="1" si="7"/>
        <v/>
      </c>
      <c r="J49" s="73">
        <v>37</v>
      </c>
      <c r="R49" s="73" t="str">
        <f t="shared" ca="1" si="2"/>
        <v/>
      </c>
      <c r="S49" s="73">
        <v>37</v>
      </c>
      <c r="T49" s="73" t="str">
        <f t="shared" ca="1" si="3"/>
        <v/>
      </c>
      <c r="U49" s="73">
        <v>37</v>
      </c>
    </row>
    <row r="50" spans="2:21" ht="15">
      <c r="B50" s="196" t="str">
        <f t="shared" ca="1" si="8"/>
        <v/>
      </c>
      <c r="C50" s="197" t="str">
        <f t="shared" ca="1" si="4"/>
        <v/>
      </c>
      <c r="D50" s="198" t="str">
        <f t="shared" ca="1" si="5"/>
        <v/>
      </c>
      <c r="F50" s="196" t="str">
        <f t="shared" ca="1" si="9"/>
        <v/>
      </c>
      <c r="G50" s="197" t="str">
        <f t="shared" ca="1" si="6"/>
        <v/>
      </c>
      <c r="H50" s="198" t="str">
        <f t="shared" ca="1" si="7"/>
        <v/>
      </c>
      <c r="J50" s="73">
        <v>38</v>
      </c>
      <c r="R50" s="73" t="str">
        <f t="shared" ca="1" si="2"/>
        <v/>
      </c>
      <c r="S50" s="73">
        <v>38</v>
      </c>
      <c r="T50" s="73" t="str">
        <f t="shared" ca="1" si="3"/>
        <v/>
      </c>
      <c r="U50" s="73">
        <v>38</v>
      </c>
    </row>
    <row r="51" spans="2:21" ht="15">
      <c r="B51" s="196" t="str">
        <f t="shared" ca="1" si="8"/>
        <v/>
      </c>
      <c r="C51" s="197" t="str">
        <f t="shared" ca="1" si="4"/>
        <v/>
      </c>
      <c r="D51" s="198" t="str">
        <f t="shared" ca="1" si="5"/>
        <v/>
      </c>
      <c r="F51" s="196" t="str">
        <f t="shared" ca="1" si="9"/>
        <v/>
      </c>
      <c r="G51" s="197" t="str">
        <f t="shared" ca="1" si="6"/>
        <v/>
      </c>
      <c r="H51" s="198" t="str">
        <f t="shared" ca="1" si="7"/>
        <v/>
      </c>
      <c r="J51" s="73">
        <v>39</v>
      </c>
      <c r="R51" s="73" t="str">
        <f t="shared" ca="1" si="2"/>
        <v/>
      </c>
      <c r="S51" s="73">
        <v>39</v>
      </c>
      <c r="T51" s="73" t="str">
        <f t="shared" ca="1" si="3"/>
        <v/>
      </c>
      <c r="U51" s="73">
        <v>39</v>
      </c>
    </row>
    <row r="52" spans="2:21" ht="15">
      <c r="B52" s="196" t="str">
        <f t="shared" ca="1" si="8"/>
        <v/>
      </c>
      <c r="C52" s="197" t="str">
        <f t="shared" ca="1" si="4"/>
        <v/>
      </c>
      <c r="D52" s="198" t="str">
        <f t="shared" ca="1" si="5"/>
        <v/>
      </c>
      <c r="F52" s="196" t="str">
        <f t="shared" ca="1" si="9"/>
        <v/>
      </c>
      <c r="G52" s="197" t="str">
        <f t="shared" ca="1" si="6"/>
        <v/>
      </c>
      <c r="H52" s="198" t="str">
        <f t="shared" ca="1" si="7"/>
        <v/>
      </c>
      <c r="J52" s="73">
        <v>40</v>
      </c>
      <c r="R52" s="73" t="str">
        <f t="shared" ca="1" si="2"/>
        <v/>
      </c>
      <c r="S52" s="73">
        <v>40</v>
      </c>
      <c r="T52" s="73" t="str">
        <f t="shared" ca="1" si="3"/>
        <v/>
      </c>
      <c r="U52" s="73">
        <v>40</v>
      </c>
    </row>
    <row r="53" spans="2:21" ht="15">
      <c r="B53" s="196" t="str">
        <f t="shared" ca="1" si="8"/>
        <v/>
      </c>
      <c r="C53" s="197" t="str">
        <f t="shared" ca="1" si="4"/>
        <v/>
      </c>
      <c r="D53" s="198" t="str">
        <f t="shared" ca="1" si="5"/>
        <v/>
      </c>
      <c r="F53" s="196" t="str">
        <f t="shared" ca="1" si="9"/>
        <v/>
      </c>
      <c r="G53" s="197" t="str">
        <f t="shared" ca="1" si="6"/>
        <v/>
      </c>
      <c r="H53" s="198" t="str">
        <f t="shared" ca="1" si="7"/>
        <v/>
      </c>
      <c r="J53" s="73">
        <v>41</v>
      </c>
      <c r="R53" s="73" t="str">
        <f t="shared" ca="1" si="2"/>
        <v/>
      </c>
      <c r="S53" s="73">
        <v>41</v>
      </c>
      <c r="T53" s="73" t="str">
        <f t="shared" ca="1" si="3"/>
        <v/>
      </c>
      <c r="U53" s="73">
        <v>41</v>
      </c>
    </row>
    <row r="54" spans="2:21" ht="15">
      <c r="B54" s="196" t="str">
        <f t="shared" ca="1" si="8"/>
        <v/>
      </c>
      <c r="C54" s="197" t="str">
        <f t="shared" ca="1" si="4"/>
        <v/>
      </c>
      <c r="D54" s="198" t="str">
        <f t="shared" ca="1" si="5"/>
        <v/>
      </c>
      <c r="F54" s="196" t="str">
        <f t="shared" ca="1" si="9"/>
        <v/>
      </c>
      <c r="G54" s="197" t="str">
        <f t="shared" ca="1" si="6"/>
        <v/>
      </c>
      <c r="H54" s="198" t="str">
        <f t="shared" ca="1" si="7"/>
        <v/>
      </c>
      <c r="J54" s="73">
        <v>42</v>
      </c>
      <c r="R54" s="73" t="str">
        <f t="shared" ca="1" si="2"/>
        <v/>
      </c>
      <c r="S54" s="73">
        <v>42</v>
      </c>
      <c r="T54" s="73" t="str">
        <f t="shared" ca="1" si="3"/>
        <v/>
      </c>
      <c r="U54" s="73">
        <v>42</v>
      </c>
    </row>
    <row r="55" spans="2:21" ht="15">
      <c r="B55" s="196" t="str">
        <f t="shared" ca="1" si="8"/>
        <v/>
      </c>
      <c r="C55" s="197" t="str">
        <f t="shared" ca="1" si="4"/>
        <v/>
      </c>
      <c r="D55" s="198" t="str">
        <f t="shared" ca="1" si="5"/>
        <v/>
      </c>
      <c r="F55" s="196" t="str">
        <f t="shared" ca="1" si="9"/>
        <v/>
      </c>
      <c r="G55" s="197" t="str">
        <f t="shared" ca="1" si="6"/>
        <v/>
      </c>
      <c r="H55" s="198" t="str">
        <f t="shared" ca="1" si="7"/>
        <v/>
      </c>
      <c r="J55" s="73">
        <v>43</v>
      </c>
      <c r="R55" s="73" t="str">
        <f t="shared" ca="1" si="2"/>
        <v/>
      </c>
      <c r="S55" s="73">
        <v>43</v>
      </c>
      <c r="T55" s="73" t="str">
        <f t="shared" ca="1" si="3"/>
        <v/>
      </c>
      <c r="U55" s="73">
        <v>43</v>
      </c>
    </row>
    <row r="56" spans="2:21" ht="15">
      <c r="B56" s="196" t="str">
        <f t="shared" ca="1" si="8"/>
        <v/>
      </c>
      <c r="C56" s="197" t="str">
        <f t="shared" ca="1" si="4"/>
        <v/>
      </c>
      <c r="D56" s="198" t="str">
        <f t="shared" ca="1" si="5"/>
        <v/>
      </c>
      <c r="F56" s="196" t="str">
        <f t="shared" ca="1" si="9"/>
        <v/>
      </c>
      <c r="G56" s="197" t="str">
        <f t="shared" ca="1" si="6"/>
        <v/>
      </c>
      <c r="H56" s="198" t="str">
        <f t="shared" ca="1" si="7"/>
        <v/>
      </c>
      <c r="J56" s="73">
        <v>44</v>
      </c>
      <c r="R56" s="73" t="str">
        <f t="shared" ca="1" si="2"/>
        <v/>
      </c>
      <c r="S56" s="73">
        <v>44</v>
      </c>
      <c r="T56" s="73" t="str">
        <f t="shared" ca="1" si="3"/>
        <v/>
      </c>
      <c r="U56" s="73">
        <v>44</v>
      </c>
    </row>
    <row r="57" spans="2:21" ht="15">
      <c r="B57" s="196" t="str">
        <f t="shared" ca="1" si="8"/>
        <v/>
      </c>
      <c r="C57" s="197" t="str">
        <f t="shared" ca="1" si="4"/>
        <v/>
      </c>
      <c r="D57" s="198" t="str">
        <f t="shared" ca="1" si="5"/>
        <v/>
      </c>
      <c r="F57" s="196" t="str">
        <f t="shared" ca="1" si="9"/>
        <v/>
      </c>
      <c r="G57" s="197" t="str">
        <f t="shared" ca="1" si="6"/>
        <v/>
      </c>
      <c r="H57" s="198" t="str">
        <f t="shared" ca="1" si="7"/>
        <v/>
      </c>
      <c r="J57" s="73">
        <v>45</v>
      </c>
      <c r="R57" s="73" t="str">
        <f t="shared" ca="1" si="2"/>
        <v/>
      </c>
      <c r="S57" s="73">
        <v>45</v>
      </c>
      <c r="T57" s="73" t="str">
        <f t="shared" ca="1" si="3"/>
        <v/>
      </c>
      <c r="U57" s="73">
        <v>45</v>
      </c>
    </row>
    <row r="58" spans="2:21" ht="15">
      <c r="B58" s="196" t="str">
        <f t="shared" ca="1" si="8"/>
        <v/>
      </c>
      <c r="C58" s="197" t="str">
        <f t="shared" ca="1" si="4"/>
        <v/>
      </c>
      <c r="D58" s="198" t="str">
        <f t="shared" ca="1" si="5"/>
        <v/>
      </c>
      <c r="F58" s="196" t="str">
        <f t="shared" ca="1" si="9"/>
        <v/>
      </c>
      <c r="G58" s="197" t="str">
        <f t="shared" ca="1" si="6"/>
        <v/>
      </c>
      <c r="H58" s="198" t="str">
        <f t="shared" ca="1" si="7"/>
        <v/>
      </c>
      <c r="J58" s="73">
        <v>46</v>
      </c>
      <c r="R58" s="73" t="str">
        <f t="shared" ca="1" si="2"/>
        <v/>
      </c>
      <c r="S58" s="73">
        <v>46</v>
      </c>
      <c r="T58" s="73" t="str">
        <f t="shared" ca="1" si="3"/>
        <v/>
      </c>
      <c r="U58" s="73">
        <v>46</v>
      </c>
    </row>
    <row r="59" spans="2:21" ht="15">
      <c r="B59" s="196" t="str">
        <f t="shared" ca="1" si="8"/>
        <v/>
      </c>
      <c r="C59" s="197" t="str">
        <f t="shared" ca="1" si="4"/>
        <v/>
      </c>
      <c r="D59" s="198" t="str">
        <f t="shared" ca="1" si="5"/>
        <v/>
      </c>
      <c r="F59" s="196" t="str">
        <f t="shared" ca="1" si="9"/>
        <v/>
      </c>
      <c r="G59" s="197" t="str">
        <f t="shared" ca="1" si="6"/>
        <v/>
      </c>
      <c r="H59" s="198" t="str">
        <f t="shared" ca="1" si="7"/>
        <v/>
      </c>
      <c r="J59" s="73">
        <v>47</v>
      </c>
      <c r="R59" s="73" t="str">
        <f t="shared" ca="1" si="2"/>
        <v/>
      </c>
      <c r="S59" s="73">
        <v>47</v>
      </c>
      <c r="T59" s="73" t="str">
        <f t="shared" ca="1" si="3"/>
        <v/>
      </c>
      <c r="U59" s="73">
        <v>47</v>
      </c>
    </row>
    <row r="60" spans="2:21" ht="15">
      <c r="B60" s="196" t="str">
        <f t="shared" ca="1" si="8"/>
        <v/>
      </c>
      <c r="C60" s="197" t="str">
        <f t="shared" ca="1" si="4"/>
        <v/>
      </c>
      <c r="D60" s="198" t="str">
        <f t="shared" ca="1" si="5"/>
        <v/>
      </c>
      <c r="F60" s="196" t="str">
        <f t="shared" ca="1" si="9"/>
        <v/>
      </c>
      <c r="G60" s="197" t="str">
        <f t="shared" ca="1" si="6"/>
        <v/>
      </c>
      <c r="H60" s="198" t="str">
        <f t="shared" ca="1" si="7"/>
        <v/>
      </c>
      <c r="J60" s="73">
        <v>48</v>
      </c>
      <c r="R60" s="73" t="str">
        <f t="shared" ca="1" si="2"/>
        <v/>
      </c>
      <c r="S60" s="73">
        <v>48</v>
      </c>
      <c r="T60" s="73" t="str">
        <f t="shared" ca="1" si="3"/>
        <v/>
      </c>
      <c r="U60" s="73">
        <v>48</v>
      </c>
    </row>
    <row r="61" spans="2:21" ht="15">
      <c r="B61" s="196" t="str">
        <f t="shared" ca="1" si="8"/>
        <v/>
      </c>
      <c r="C61" s="197" t="str">
        <f t="shared" ca="1" si="4"/>
        <v/>
      </c>
      <c r="D61" s="198" t="str">
        <f t="shared" ca="1" si="5"/>
        <v/>
      </c>
      <c r="F61" s="196" t="str">
        <f t="shared" ca="1" si="9"/>
        <v/>
      </c>
      <c r="G61" s="197" t="str">
        <f t="shared" ca="1" si="6"/>
        <v/>
      </c>
      <c r="H61" s="198" t="str">
        <f t="shared" ca="1" si="7"/>
        <v/>
      </c>
      <c r="J61" s="73">
        <v>49</v>
      </c>
      <c r="R61" s="73" t="str">
        <f t="shared" ca="1" si="2"/>
        <v/>
      </c>
      <c r="S61" s="73">
        <v>49</v>
      </c>
      <c r="T61" s="73" t="str">
        <f t="shared" ca="1" si="3"/>
        <v/>
      </c>
      <c r="U61" s="73">
        <v>49</v>
      </c>
    </row>
    <row r="62" spans="2:21" ht="15">
      <c r="B62" s="196" t="str">
        <f t="shared" ca="1" si="8"/>
        <v/>
      </c>
      <c r="C62" s="197" t="str">
        <f t="shared" ca="1" si="4"/>
        <v/>
      </c>
      <c r="D62" s="198" t="str">
        <f t="shared" ca="1" si="5"/>
        <v/>
      </c>
      <c r="F62" s="196" t="str">
        <f t="shared" ca="1" si="9"/>
        <v/>
      </c>
      <c r="G62" s="197" t="str">
        <f t="shared" ca="1" si="6"/>
        <v/>
      </c>
      <c r="H62" s="198" t="str">
        <f t="shared" ca="1" si="7"/>
        <v/>
      </c>
      <c r="J62" s="73">
        <v>50</v>
      </c>
      <c r="R62" s="73" t="str">
        <f t="shared" ca="1" si="2"/>
        <v/>
      </c>
      <c r="S62" s="73">
        <v>50</v>
      </c>
      <c r="T62" s="73" t="str">
        <f t="shared" ca="1" si="3"/>
        <v/>
      </c>
      <c r="U62" s="73">
        <v>50</v>
      </c>
    </row>
    <row r="63" spans="2:21"/>
    <row r="64" spans="2:21"/>
  </sheetData>
  <mergeCells count="5">
    <mergeCell ref="B2:C2"/>
    <mergeCell ref="B3:C3"/>
    <mergeCell ref="B7:D7"/>
    <mergeCell ref="F7:H7"/>
    <mergeCell ref="B4:C4"/>
  </mergeCells>
  <conditionalFormatting sqref="B9">
    <cfRule type="expression" dxfId="39" priority="11">
      <formula>$D$10&lt;=0</formula>
    </cfRule>
  </conditionalFormatting>
  <conditionalFormatting sqref="F9">
    <cfRule type="expression" dxfId="38" priority="10">
      <formula>$H$10&lt;=0</formula>
    </cfRule>
  </conditionalFormatting>
  <conditionalFormatting sqref="D10">
    <cfRule type="cellIs" dxfId="37" priority="9" operator="lessThanOrEqual">
      <formula>0</formula>
    </cfRule>
  </conditionalFormatting>
  <conditionalFormatting sqref="H10">
    <cfRule type="cellIs" dxfId="36" priority="7" operator="lessThanOrEqual">
      <formula>0</formula>
    </cfRule>
  </conditionalFormatting>
  <conditionalFormatting sqref="F13:H62">
    <cfRule type="expression" dxfId="35" priority="1">
      <formula>ISNUMBER(F13)</formula>
    </cfRule>
  </conditionalFormatting>
  <conditionalFormatting sqref="B13:D62">
    <cfRule type="expression" dxfId="34" priority="2">
      <formula>ISNUMBER(B13)</formula>
    </cfRule>
  </conditionalFormatting>
  <dataValidations count="3">
    <dataValidation type="whole" allowBlank="1" showInputMessage="1" showErrorMessage="1" prompt="Enter any value between 1 and 50" sqref="D2" xr:uid="{00000000-0002-0000-0600-000000000000}">
      <formula1>1</formula1>
      <formula2>50</formula2>
    </dataValidation>
    <dataValidation type="list" allowBlank="1" showInputMessage="1" showErrorMessage="1" sqref="D4" xr:uid="{00000000-0002-0000-0600-000001000000}">
      <formula1>Years</formula1>
    </dataValidation>
    <dataValidation type="list" allowBlank="1" showInputMessage="1" showErrorMessage="1" sqref="H2" xr:uid="{00000000-0002-0000-0600-000002000000}">
      <formula1>"5.20%,20.80%,31.20%"</formula1>
    </dataValidation>
  </dataValidations>
  <pageMargins left="0.7" right="0.7" top="0.75" bottom="0.75" header="0.3" footer="0.3"/>
  <pageSetup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11"/>
  <dimension ref="A1:I16"/>
  <sheetViews>
    <sheetView showGridLines="0" workbookViewId="0">
      <selection activeCell="C3" sqref="C3"/>
    </sheetView>
  </sheetViews>
  <sheetFormatPr defaultColWidth="0" defaultRowHeight="15.95" customHeight="1"/>
  <cols>
    <col min="1" max="1" width="9.140625" style="52" customWidth="1"/>
    <col min="2" max="2" width="71.28515625" style="52" bestFit="1" customWidth="1"/>
    <col min="3" max="3" width="12.85546875" style="52" bestFit="1" customWidth="1"/>
    <col min="4" max="6" width="9.140625" style="52" customWidth="1"/>
    <col min="7" max="8" width="10.5703125" style="52" bestFit="1" customWidth="1"/>
    <col min="9" max="9" width="9.140625" style="52" customWidth="1"/>
    <col min="10" max="16384" width="9.140625" style="52" hidden="1"/>
  </cols>
  <sheetData>
    <row r="1" spans="2:8" ht="22.5" customHeight="1">
      <c r="B1" s="631" t="s">
        <v>157</v>
      </c>
      <c r="C1" s="631"/>
    </row>
    <row r="3" spans="2:8" s="72" customFormat="1" ht="15.95" customHeight="1">
      <c r="B3" s="201" t="s">
        <v>144</v>
      </c>
      <c r="C3" s="111">
        <v>1000000</v>
      </c>
    </row>
    <row r="4" spans="2:8" s="72" customFormat="1" ht="15.95" customHeight="1">
      <c r="B4" s="201" t="s">
        <v>145</v>
      </c>
      <c r="C4" s="112">
        <v>0.08</v>
      </c>
    </row>
    <row r="5" spans="2:8" s="72" customFormat="1" ht="15.95" customHeight="1">
      <c r="B5" s="202" t="s">
        <v>41</v>
      </c>
      <c r="C5" s="203">
        <f>(C3*C4)/12</f>
        <v>6666.666666666667</v>
      </c>
    </row>
    <row r="6" spans="2:8" s="72" customFormat="1" ht="15.95" customHeight="1">
      <c r="B6" s="75"/>
      <c r="C6" s="110"/>
    </row>
    <row r="7" spans="2:8" s="72" customFormat="1" ht="15.95" customHeight="1" thickBot="1">
      <c r="B7" s="210" t="s">
        <v>135</v>
      </c>
      <c r="C7" s="209"/>
    </row>
    <row r="8" spans="2:8" s="72" customFormat="1" ht="15.95" customHeight="1" thickTop="1">
      <c r="B8" s="74"/>
    </row>
    <row r="9" spans="2:8" s="72" customFormat="1" ht="15.95" customHeight="1">
      <c r="B9" s="169" t="s">
        <v>146</v>
      </c>
      <c r="C9" s="112">
        <v>0.15</v>
      </c>
      <c r="G9" s="81" t="s">
        <v>42</v>
      </c>
      <c r="H9" s="81" t="s">
        <v>43</v>
      </c>
    </row>
    <row r="10" spans="2:8" s="72" customFormat="1" ht="15.95" customHeight="1">
      <c r="B10" s="169" t="s">
        <v>130</v>
      </c>
      <c r="C10" s="113">
        <v>10</v>
      </c>
      <c r="G10" s="206">
        <f>C12/100000</f>
        <v>27.331508517695223</v>
      </c>
      <c r="H10" s="206">
        <f>C14/100000</f>
        <v>21.589249972727877</v>
      </c>
    </row>
    <row r="11" spans="2:8" s="72" customFormat="1" ht="15.95" customHeight="1">
      <c r="G11" s="72" t="str">
        <f>TEXT(G10,"0.00")&amp;" lakhs"</f>
        <v>27.33 lakhs</v>
      </c>
      <c r="H11" s="72" t="str">
        <f>TEXT(H10,"0.00")&amp;" lakhs"</f>
        <v>21.59 lakhs</v>
      </c>
    </row>
    <row r="12" spans="2:8" s="72" customFormat="1" ht="15.95" customHeight="1">
      <c r="B12" s="205" t="s">
        <v>148</v>
      </c>
      <c r="C12" s="203">
        <f>FV((1+C9)^(1/12)-1,C10*12,-C5,,0)+STP_CapSafe</f>
        <v>2733150.8517695223</v>
      </c>
    </row>
    <row r="13" spans="2:8" s="72" customFormat="1" ht="15.95" customHeight="1">
      <c r="B13" s="204"/>
    </row>
    <row r="14" spans="2:8" s="72" customFormat="1" ht="15.95" customHeight="1">
      <c r="B14" s="205" t="s">
        <v>147</v>
      </c>
      <c r="C14" s="203">
        <f>FV(C4,C10,,-C3)</f>
        <v>2158924.9972727876</v>
      </c>
    </row>
    <row r="15" spans="2:8" s="72" customFormat="1" ht="15.95" customHeight="1">
      <c r="B15" s="185" t="s">
        <v>221</v>
      </c>
      <c r="C15" s="254">
        <f>RATE(C10,,-STP_CapSafe,C12,,)</f>
        <v>0.10577396453397639</v>
      </c>
    </row>
    <row r="16" spans="2:8" s="72" customFormat="1" ht="15.95" customHeight="1">
      <c r="B16" s="185" t="s">
        <v>149</v>
      </c>
      <c r="C16" s="207">
        <f>C12-C14</f>
        <v>574225.85449673468</v>
      </c>
    </row>
  </sheetData>
  <mergeCells count="1">
    <mergeCell ref="B1:C1"/>
  </mergeCells>
  <pageMargins left="0.7" right="0.7" top="0.75" bottom="0.75" header="0.3" footer="0.3"/>
  <pageSetup scale="83" orientation="landscape"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12"/>
  <dimension ref="A1:XFC306"/>
  <sheetViews>
    <sheetView showGridLines="0" workbookViewId="0">
      <selection activeCell="C4" sqref="C4"/>
    </sheetView>
  </sheetViews>
  <sheetFormatPr defaultColWidth="0" defaultRowHeight="15" zeroHeight="1"/>
  <cols>
    <col min="1" max="1" width="9.140625" style="114" customWidth="1"/>
    <col min="2" max="2" width="26.28515625" style="114" customWidth="1"/>
    <col min="3" max="3" width="16.42578125" style="114" customWidth="1"/>
    <col min="4" max="4" width="15.42578125" style="114" customWidth="1"/>
    <col min="5" max="5" width="34.85546875" style="114" customWidth="1"/>
    <col min="6" max="6" width="16.42578125" style="114" customWidth="1"/>
    <col min="7" max="7" width="9.140625" style="114" customWidth="1"/>
    <col min="8" max="8" width="2" style="114" customWidth="1"/>
    <col min="9" max="12" width="8.42578125" style="114" hidden="1" customWidth="1"/>
    <col min="13" max="13" width="14" style="114" hidden="1" customWidth="1"/>
    <col min="14" max="16383" width="9.140625" style="114" hidden="1"/>
    <col min="16384" max="16384" width="2.85546875" style="114" hidden="1" customWidth="1"/>
  </cols>
  <sheetData>
    <row r="1" spans="1:13" ht="30" customHeight="1">
      <c r="A1" s="632" t="s">
        <v>44</v>
      </c>
      <c r="B1" s="632"/>
      <c r="C1" s="632"/>
      <c r="D1" s="632"/>
      <c r="E1" s="632"/>
      <c r="F1" s="632"/>
      <c r="G1" s="632"/>
    </row>
    <row r="2" spans="1:13" ht="30" customHeight="1">
      <c r="A2" s="632"/>
      <c r="B2" s="632"/>
      <c r="C2" s="632"/>
      <c r="D2" s="632"/>
      <c r="E2" s="632"/>
      <c r="F2" s="632"/>
      <c r="G2" s="632"/>
      <c r="I2" s="114">
        <v>0</v>
      </c>
      <c r="M2" s="114">
        <f>HOME_LOAN</f>
        <v>5000000</v>
      </c>
    </row>
    <row r="3" spans="1:13" ht="15" customHeight="1">
      <c r="A3" s="115"/>
      <c r="B3" s="116"/>
      <c r="C3" s="116"/>
      <c r="D3" s="116"/>
      <c r="E3" s="116"/>
      <c r="F3" s="116"/>
      <c r="G3" s="117"/>
      <c r="I3" s="114">
        <v>1</v>
      </c>
      <c r="J3" s="230">
        <f>$C$7</f>
        <v>52462.800714870151</v>
      </c>
      <c r="K3" s="114">
        <f>M2*($C$5/12)</f>
        <v>46875</v>
      </c>
      <c r="L3" s="230">
        <f>J3-K3</f>
        <v>5587.8007148701508</v>
      </c>
      <c r="M3" s="231">
        <f>M2-L3</f>
        <v>4994412.19928513</v>
      </c>
    </row>
    <row r="4" spans="1:13" ht="15" customHeight="1">
      <c r="A4" s="118"/>
      <c r="B4" s="119" t="s">
        <v>13</v>
      </c>
      <c r="C4" s="136">
        <v>5000000</v>
      </c>
      <c r="D4" s="119"/>
      <c r="E4" s="119" t="s">
        <v>45</v>
      </c>
      <c r="F4" s="137">
        <v>0.1</v>
      </c>
      <c r="G4" s="120"/>
      <c r="I4" s="114">
        <v>2</v>
      </c>
      <c r="J4" s="230">
        <f t="shared" ref="J4:J67" si="0">$C$7</f>
        <v>52462.800714870151</v>
      </c>
      <c r="K4" s="114">
        <f t="shared" ref="K4:K8" si="1">M3*($C$5/12)</f>
        <v>46822.614368298091</v>
      </c>
      <c r="L4" s="230">
        <f t="shared" ref="L4:L8" si="2">J4-K4</f>
        <v>5640.1863465720598</v>
      </c>
      <c r="M4" s="231">
        <f t="shared" ref="M4:M8" si="3">M3-L4</f>
        <v>4988772.0129385581</v>
      </c>
    </row>
    <row r="5" spans="1:13" ht="15" customHeight="1">
      <c r="A5" s="118"/>
      <c r="B5" s="119" t="s">
        <v>12</v>
      </c>
      <c r="C5" s="137">
        <v>0.1125</v>
      </c>
      <c r="D5" s="119"/>
      <c r="E5" s="140" t="s">
        <v>11</v>
      </c>
      <c r="F5" s="141">
        <f>PMT(F4/12,(C6*12)-C8,-VLOOKUP(C8,I2:M303,5,0),,0)</f>
        <v>48923.554587220795</v>
      </c>
      <c r="G5" s="120"/>
      <c r="I5" s="114">
        <v>3</v>
      </c>
      <c r="J5" s="230">
        <f t="shared" si="0"/>
        <v>52462.800714870151</v>
      </c>
      <c r="K5" s="114">
        <f t="shared" si="1"/>
        <v>46769.737621298984</v>
      </c>
      <c r="L5" s="230">
        <f t="shared" si="2"/>
        <v>5693.063093571167</v>
      </c>
      <c r="M5" s="231">
        <f t="shared" si="3"/>
        <v>4983078.9498449871</v>
      </c>
    </row>
    <row r="6" spans="1:13" ht="15" customHeight="1">
      <c r="A6" s="118"/>
      <c r="B6" s="119" t="s">
        <v>200</v>
      </c>
      <c r="C6" s="138">
        <v>20</v>
      </c>
      <c r="D6" s="119"/>
      <c r="E6" s="140" t="s">
        <v>10</v>
      </c>
      <c r="F6" s="141">
        <f>C7-F5</f>
        <v>3539.2461276493559</v>
      </c>
      <c r="G6" s="120"/>
      <c r="I6" s="114">
        <v>4</v>
      </c>
      <c r="J6" s="230">
        <f t="shared" si="0"/>
        <v>52462.800714870151</v>
      </c>
      <c r="K6" s="114">
        <f t="shared" si="1"/>
        <v>46716.365154796753</v>
      </c>
      <c r="L6" s="230">
        <f t="shared" si="2"/>
        <v>5746.4355600733979</v>
      </c>
      <c r="M6" s="231">
        <f t="shared" si="3"/>
        <v>4977332.5142849134</v>
      </c>
    </row>
    <row r="7" spans="1:13" ht="15" customHeight="1">
      <c r="A7" s="118"/>
      <c r="B7" s="140" t="s">
        <v>9</v>
      </c>
      <c r="C7" s="141">
        <f>PMT(C5/12,C6*12,-C4,,0)</f>
        <v>52462.800714870151</v>
      </c>
      <c r="D7" s="119"/>
      <c r="E7" s="119" t="s">
        <v>202</v>
      </c>
      <c r="F7" s="139">
        <v>0.18</v>
      </c>
      <c r="G7" s="120"/>
      <c r="I7" s="114">
        <v>5</v>
      </c>
      <c r="J7" s="230">
        <f t="shared" si="0"/>
        <v>52462.800714870151</v>
      </c>
      <c r="K7" s="114">
        <f t="shared" si="1"/>
        <v>46662.492321421065</v>
      </c>
      <c r="L7" s="230">
        <f t="shared" si="2"/>
        <v>5800.308393449086</v>
      </c>
      <c r="M7" s="231">
        <f t="shared" si="3"/>
        <v>4971532.2058914639</v>
      </c>
    </row>
    <row r="8" spans="1:13" ht="15" customHeight="1">
      <c r="A8" s="118"/>
      <c r="B8" s="119" t="s">
        <v>201</v>
      </c>
      <c r="C8" s="138">
        <v>60</v>
      </c>
      <c r="D8" s="633" t="str">
        <f>"  (SIP tenure is "&amp;TEXT(C6-(C8/12),"#,##")&amp;" year(s), please assume return accordingly)"</f>
        <v xml:space="preserve">  (SIP tenure is 15 year(s), please assume return accordingly)</v>
      </c>
      <c r="E8" s="634"/>
      <c r="F8" s="634"/>
      <c r="G8" s="635"/>
      <c r="I8" s="114">
        <v>6</v>
      </c>
      <c r="J8" s="230">
        <f t="shared" si="0"/>
        <v>52462.800714870151</v>
      </c>
      <c r="K8" s="114">
        <f t="shared" si="1"/>
        <v>46608.114430232476</v>
      </c>
      <c r="L8" s="230">
        <f t="shared" si="2"/>
        <v>5854.6862846376753</v>
      </c>
      <c r="M8" s="231">
        <f t="shared" si="3"/>
        <v>4965677.5196068259</v>
      </c>
    </row>
    <row r="9" spans="1:13" ht="15" customHeight="1">
      <c r="A9" s="118"/>
      <c r="B9" s="119"/>
      <c r="C9" s="240"/>
      <c r="D9" s="232"/>
      <c r="E9" s="232"/>
      <c r="F9" s="232"/>
      <c r="G9" s="233"/>
      <c r="I9" s="114">
        <v>7</v>
      </c>
      <c r="J9" s="230">
        <f t="shared" si="0"/>
        <v>52462.800714870151</v>
      </c>
      <c r="K9" s="114">
        <f t="shared" ref="K9:K40" si="4">M8*($C$5/12)</f>
        <v>46553.226746313994</v>
      </c>
      <c r="L9" s="230">
        <f t="shared" ref="L9:L40" si="5">J9-K9</f>
        <v>5909.5739685561566</v>
      </c>
      <c r="M9" s="231">
        <f t="shared" ref="M9:M40" si="6">M8-L9</f>
        <v>4959767.9456382701</v>
      </c>
    </row>
    <row r="10" spans="1:13">
      <c r="A10" s="121"/>
      <c r="B10" s="122"/>
      <c r="C10" s="122"/>
      <c r="D10" s="122"/>
      <c r="E10" s="122"/>
      <c r="F10" s="122"/>
      <c r="G10" s="123"/>
      <c r="I10" s="114">
        <v>8</v>
      </c>
      <c r="J10" s="230">
        <f t="shared" si="0"/>
        <v>52462.800714870151</v>
      </c>
      <c r="K10" s="114">
        <f t="shared" si="4"/>
        <v>46497.824490358784</v>
      </c>
      <c r="L10" s="230">
        <f t="shared" si="5"/>
        <v>5964.976224511367</v>
      </c>
      <c r="M10" s="231">
        <f t="shared" si="6"/>
        <v>4953802.9694137592</v>
      </c>
    </row>
    <row r="11" spans="1:13">
      <c r="A11" s="124"/>
      <c r="B11" s="636" t="s">
        <v>16</v>
      </c>
      <c r="C11" s="637"/>
      <c r="D11" s="125"/>
      <c r="E11" s="636" t="s">
        <v>17</v>
      </c>
      <c r="F11" s="637"/>
      <c r="G11" s="126"/>
      <c r="I11" s="114">
        <v>9</v>
      </c>
      <c r="J11" s="230">
        <f t="shared" si="0"/>
        <v>52462.800714870151</v>
      </c>
      <c r="K11" s="114">
        <f t="shared" si="4"/>
        <v>46441.902838253991</v>
      </c>
      <c r="L11" s="230">
        <f t="shared" si="5"/>
        <v>6020.8978766161599</v>
      </c>
      <c r="M11" s="231">
        <f t="shared" si="6"/>
        <v>4947782.0715371426</v>
      </c>
    </row>
    <row r="12" spans="1:13" ht="15.75">
      <c r="A12" s="124"/>
      <c r="B12" s="127" t="s">
        <v>9</v>
      </c>
      <c r="C12" s="128">
        <f>C7</f>
        <v>52462.800714870151</v>
      </c>
      <c r="D12" s="125"/>
      <c r="E12" s="127" t="s">
        <v>9</v>
      </c>
      <c r="F12" s="128">
        <f>F5</f>
        <v>48923.554587220795</v>
      </c>
      <c r="G12" s="126"/>
      <c r="I12" s="114">
        <v>10</v>
      </c>
      <c r="J12" s="230">
        <f t="shared" si="0"/>
        <v>52462.800714870151</v>
      </c>
      <c r="K12" s="114">
        <f t="shared" si="4"/>
        <v>46385.456920660712</v>
      </c>
      <c r="L12" s="230">
        <f t="shared" si="5"/>
        <v>6077.3437942094388</v>
      </c>
      <c r="M12" s="231">
        <f t="shared" si="6"/>
        <v>4941704.7277429327</v>
      </c>
    </row>
    <row r="13" spans="1:13" ht="15.75">
      <c r="A13" s="124"/>
      <c r="B13" s="127" t="s">
        <v>7</v>
      </c>
      <c r="C13" s="129">
        <v>0</v>
      </c>
      <c r="D13" s="125"/>
      <c r="E13" s="127" t="s">
        <v>199</v>
      </c>
      <c r="F13" s="128">
        <f>F6</f>
        <v>3539.2461276493559</v>
      </c>
      <c r="G13" s="126"/>
      <c r="I13" s="114">
        <v>11</v>
      </c>
      <c r="J13" s="230">
        <f t="shared" si="0"/>
        <v>52462.800714870151</v>
      </c>
      <c r="K13" s="114">
        <f t="shared" si="4"/>
        <v>46328.481822589994</v>
      </c>
      <c r="L13" s="230">
        <f t="shared" si="5"/>
        <v>6134.3188922801564</v>
      </c>
      <c r="M13" s="231">
        <f t="shared" si="6"/>
        <v>4935570.4088506522</v>
      </c>
    </row>
    <row r="14" spans="1:13" ht="15.75">
      <c r="A14" s="124"/>
      <c r="B14" s="127" t="s">
        <v>1</v>
      </c>
      <c r="C14" s="128">
        <f>SUM(C12:C13)</f>
        <v>52462.800714870151</v>
      </c>
      <c r="D14" s="125"/>
      <c r="E14" s="127" t="s">
        <v>1</v>
      </c>
      <c r="F14" s="128">
        <f>F13+F12</f>
        <v>52462.800714870151</v>
      </c>
      <c r="G14" s="126"/>
      <c r="I14" s="114">
        <v>12</v>
      </c>
      <c r="J14" s="230">
        <f t="shared" si="0"/>
        <v>52462.800714870151</v>
      </c>
      <c r="K14" s="114">
        <f t="shared" si="4"/>
        <v>46270.972582974864</v>
      </c>
      <c r="L14" s="230">
        <f t="shared" si="5"/>
        <v>6191.8281318952868</v>
      </c>
      <c r="M14" s="231">
        <f t="shared" si="6"/>
        <v>4929378.5807187567</v>
      </c>
    </row>
    <row r="15" spans="1:13">
      <c r="A15" s="124"/>
      <c r="B15" s="125"/>
      <c r="C15" s="125"/>
      <c r="D15" s="125"/>
      <c r="E15" s="125"/>
      <c r="F15" s="125"/>
      <c r="G15" s="126"/>
      <c r="I15" s="114">
        <v>13</v>
      </c>
      <c r="J15" s="230">
        <f t="shared" si="0"/>
        <v>52462.800714870151</v>
      </c>
      <c r="K15" s="114">
        <f t="shared" si="4"/>
        <v>46212.924194238345</v>
      </c>
      <c r="L15" s="230">
        <f t="shared" si="5"/>
        <v>6249.8765206318058</v>
      </c>
      <c r="M15" s="231">
        <f t="shared" si="6"/>
        <v>4923128.7041981248</v>
      </c>
    </row>
    <row r="16" spans="1:13">
      <c r="A16" s="124"/>
      <c r="B16" s="130" t="s">
        <v>46</v>
      </c>
      <c r="C16" s="131">
        <f>C6-(C8/12)</f>
        <v>15</v>
      </c>
      <c r="D16" s="125"/>
      <c r="E16" s="130" t="s">
        <v>46</v>
      </c>
      <c r="F16" s="131">
        <f>C6-(C8/12)</f>
        <v>15</v>
      </c>
      <c r="G16" s="126"/>
      <c r="I16" s="114">
        <v>14</v>
      </c>
      <c r="J16" s="230">
        <f t="shared" si="0"/>
        <v>52462.800714870151</v>
      </c>
      <c r="K16" s="114">
        <f t="shared" si="4"/>
        <v>46154.331601857419</v>
      </c>
      <c r="L16" s="230">
        <f t="shared" si="5"/>
        <v>6308.4691130127321</v>
      </c>
      <c r="M16" s="231">
        <f t="shared" si="6"/>
        <v>4916820.235085112</v>
      </c>
    </row>
    <row r="17" spans="1:13">
      <c r="A17" s="124"/>
      <c r="B17" s="125"/>
      <c r="C17" s="125"/>
      <c r="D17" s="125"/>
      <c r="E17" s="125"/>
      <c r="F17" s="125"/>
      <c r="G17" s="126"/>
      <c r="I17" s="114">
        <v>15</v>
      </c>
      <c r="J17" s="230">
        <f t="shared" si="0"/>
        <v>52462.800714870151</v>
      </c>
      <c r="K17" s="114">
        <f t="shared" si="4"/>
        <v>46095.189703922922</v>
      </c>
      <c r="L17" s="230">
        <f t="shared" si="5"/>
        <v>6367.6110109472284</v>
      </c>
      <c r="M17" s="231">
        <f t="shared" si="6"/>
        <v>4910452.6240741648</v>
      </c>
    </row>
    <row r="18" spans="1:13" ht="15.75">
      <c r="A18" s="124"/>
      <c r="B18" s="130" t="str">
        <f>"Wealth created in "&amp;$C$6&amp;" years"</f>
        <v>Wealth created in 20 years</v>
      </c>
      <c r="C18" s="131">
        <v>0</v>
      </c>
      <c r="D18" s="125"/>
      <c r="E18" s="130" t="str">
        <f>"Wealth created in "&amp;$C$6-(C8/12)&amp;" years*"</f>
        <v>Wealth created in 15 years*</v>
      </c>
      <c r="F18" s="142">
        <f>FV((1+F7)^(1/12)-1,(C6*12)-C8,-F6,,1)</f>
        <v>2835324.3396625631</v>
      </c>
      <c r="G18" s="126"/>
      <c r="I18" s="114">
        <v>16</v>
      </c>
      <c r="J18" s="230">
        <f t="shared" si="0"/>
        <v>52462.800714870151</v>
      </c>
      <c r="K18" s="114">
        <f t="shared" si="4"/>
        <v>46035.493350695295</v>
      </c>
      <c r="L18" s="230">
        <f t="shared" si="5"/>
        <v>6427.307364174856</v>
      </c>
      <c r="M18" s="231">
        <f t="shared" si="6"/>
        <v>4904025.3167099897</v>
      </c>
    </row>
    <row r="19" spans="1:13">
      <c r="A19" s="124"/>
      <c r="B19" s="638"/>
      <c r="C19" s="638"/>
      <c r="D19" s="132"/>
      <c r="E19" s="641" t="s">
        <v>47</v>
      </c>
      <c r="F19" s="641"/>
      <c r="G19" s="126"/>
      <c r="I19" s="114">
        <v>17</v>
      </c>
      <c r="J19" s="230">
        <f t="shared" si="0"/>
        <v>52462.800714870151</v>
      </c>
      <c r="K19" s="114">
        <f t="shared" si="4"/>
        <v>45975.23734415615</v>
      </c>
      <c r="L19" s="230">
        <f t="shared" si="5"/>
        <v>6487.5633707140005</v>
      </c>
      <c r="M19" s="231">
        <f t="shared" si="6"/>
        <v>4897537.7533392757</v>
      </c>
    </row>
    <row r="20" spans="1:13">
      <c r="A20" s="124"/>
      <c r="B20" s="639"/>
      <c r="C20" s="639"/>
      <c r="D20" s="132"/>
      <c r="E20" s="642"/>
      <c r="F20" s="642"/>
      <c r="G20" s="126"/>
      <c r="I20" s="114">
        <v>18</v>
      </c>
      <c r="J20" s="230">
        <f t="shared" si="0"/>
        <v>52462.800714870151</v>
      </c>
      <c r="K20" s="114">
        <f t="shared" si="4"/>
        <v>45914.416437555708</v>
      </c>
      <c r="L20" s="230">
        <f t="shared" si="5"/>
        <v>6548.3842773144424</v>
      </c>
      <c r="M20" s="231">
        <f t="shared" si="6"/>
        <v>4890989.3690619608</v>
      </c>
    </row>
    <row r="21" spans="1:13">
      <c r="A21" s="133"/>
      <c r="B21" s="640"/>
      <c r="C21" s="640"/>
      <c r="D21" s="134"/>
      <c r="E21" s="134"/>
      <c r="F21" s="134"/>
      <c r="G21" s="135"/>
      <c r="I21" s="114">
        <v>19</v>
      </c>
      <c r="J21" s="230">
        <f t="shared" si="0"/>
        <v>52462.800714870151</v>
      </c>
      <c r="K21" s="114">
        <f t="shared" si="4"/>
        <v>45853.025334955884</v>
      </c>
      <c r="L21" s="230">
        <f t="shared" si="5"/>
        <v>6609.7753799142665</v>
      </c>
      <c r="M21" s="231">
        <f t="shared" si="6"/>
        <v>4884379.593682047</v>
      </c>
    </row>
    <row r="22" spans="1:13" ht="5.25" customHeight="1">
      <c r="I22" s="114">
        <v>20</v>
      </c>
      <c r="J22" s="230">
        <f t="shared" si="0"/>
        <v>52462.800714870151</v>
      </c>
      <c r="K22" s="114">
        <f t="shared" si="4"/>
        <v>45791.05869076919</v>
      </c>
      <c r="L22" s="230">
        <f t="shared" si="5"/>
        <v>6671.7420241009604</v>
      </c>
      <c r="M22" s="231">
        <f t="shared" si="6"/>
        <v>4877707.8516579457</v>
      </c>
    </row>
    <row r="23" spans="1:13" ht="16.5" hidden="1" customHeight="1">
      <c r="I23" s="114">
        <v>21</v>
      </c>
      <c r="J23" s="230">
        <f t="shared" si="0"/>
        <v>52462.800714870151</v>
      </c>
      <c r="K23" s="114">
        <f t="shared" si="4"/>
        <v>45728.511109293242</v>
      </c>
      <c r="L23" s="230">
        <f t="shared" si="5"/>
        <v>6734.2896055769088</v>
      </c>
      <c r="M23" s="231">
        <f t="shared" si="6"/>
        <v>4870973.5620523691</v>
      </c>
    </row>
    <row r="24" spans="1:13" ht="16.5" hidden="1" customHeight="1">
      <c r="I24" s="114">
        <v>22</v>
      </c>
      <c r="J24" s="230">
        <f t="shared" si="0"/>
        <v>52462.800714870151</v>
      </c>
      <c r="K24" s="114">
        <f t="shared" si="4"/>
        <v>45665.377144240956</v>
      </c>
      <c r="L24" s="230">
        <f t="shared" si="5"/>
        <v>6797.4235706291947</v>
      </c>
      <c r="M24" s="231">
        <f t="shared" si="6"/>
        <v>4864176.1384817399</v>
      </c>
    </row>
    <row r="25" spans="1:13" ht="16.5" hidden="1" customHeight="1">
      <c r="I25" s="114">
        <v>23</v>
      </c>
      <c r="J25" s="230">
        <f t="shared" si="0"/>
        <v>52462.800714870151</v>
      </c>
      <c r="K25" s="114">
        <f t="shared" si="4"/>
        <v>45601.651298266312</v>
      </c>
      <c r="L25" s="230">
        <f t="shared" si="5"/>
        <v>6861.1494166038392</v>
      </c>
      <c r="M25" s="231">
        <f t="shared" si="6"/>
        <v>4857314.9890651358</v>
      </c>
    </row>
    <row r="26" spans="1:13" ht="16.5" hidden="1" customHeight="1">
      <c r="I26" s="114">
        <v>24</v>
      </c>
      <c r="J26" s="230">
        <f t="shared" si="0"/>
        <v>52462.800714870151</v>
      </c>
      <c r="K26" s="114">
        <f t="shared" si="4"/>
        <v>45537.32802248565</v>
      </c>
      <c r="L26" s="230">
        <f t="shared" si="5"/>
        <v>6925.472692384501</v>
      </c>
      <c r="M26" s="231">
        <f t="shared" si="6"/>
        <v>4850389.5163727514</v>
      </c>
    </row>
    <row r="27" spans="1:13" ht="16.5" hidden="1" customHeight="1">
      <c r="I27" s="114">
        <v>25</v>
      </c>
      <c r="J27" s="230">
        <f t="shared" si="0"/>
        <v>52462.800714870151</v>
      </c>
      <c r="K27" s="114">
        <f t="shared" si="4"/>
        <v>45472.401715994543</v>
      </c>
      <c r="L27" s="230">
        <f t="shared" si="5"/>
        <v>6990.3989988756075</v>
      </c>
      <c r="M27" s="231">
        <f t="shared" si="6"/>
        <v>4843399.1173738763</v>
      </c>
    </row>
    <row r="28" spans="1:13" ht="16.5" hidden="1" customHeight="1">
      <c r="I28" s="114">
        <v>26</v>
      </c>
      <c r="J28" s="230">
        <f t="shared" si="0"/>
        <v>52462.800714870151</v>
      </c>
      <c r="K28" s="114">
        <f t="shared" si="4"/>
        <v>45406.866725380089</v>
      </c>
      <c r="L28" s="230">
        <f t="shared" si="5"/>
        <v>7055.9339894900622</v>
      </c>
      <c r="M28" s="231">
        <f t="shared" si="6"/>
        <v>4836343.1833843859</v>
      </c>
    </row>
    <row r="29" spans="1:13" ht="16.5" hidden="1" customHeight="1">
      <c r="I29" s="114">
        <v>27</v>
      </c>
      <c r="J29" s="230">
        <f t="shared" si="0"/>
        <v>52462.800714870151</v>
      </c>
      <c r="K29" s="114">
        <f t="shared" si="4"/>
        <v>45340.717344228615</v>
      </c>
      <c r="L29" s="230">
        <f t="shared" si="5"/>
        <v>7122.083370641536</v>
      </c>
      <c r="M29" s="231">
        <f t="shared" si="6"/>
        <v>4829221.1000137441</v>
      </c>
    </row>
    <row r="30" spans="1:13" ht="16.5" hidden="1" customHeight="1">
      <c r="I30" s="114">
        <v>28</v>
      </c>
      <c r="J30" s="230">
        <f t="shared" si="0"/>
        <v>52462.800714870151</v>
      </c>
      <c r="K30" s="114">
        <f t="shared" si="4"/>
        <v>45273.947812628852</v>
      </c>
      <c r="L30" s="230">
        <f t="shared" si="5"/>
        <v>7188.8529022412986</v>
      </c>
      <c r="M30" s="231">
        <f t="shared" si="6"/>
        <v>4822032.247111503</v>
      </c>
    </row>
    <row r="31" spans="1:13" ht="16.5" hidden="1" customHeight="1">
      <c r="I31" s="114">
        <v>29</v>
      </c>
      <c r="J31" s="230">
        <f t="shared" si="0"/>
        <v>52462.800714870151</v>
      </c>
      <c r="K31" s="114">
        <f t="shared" si="4"/>
        <v>45206.552316670342</v>
      </c>
      <c r="L31" s="230">
        <f t="shared" si="5"/>
        <v>7256.2483981998084</v>
      </c>
      <c r="M31" s="231">
        <f t="shared" si="6"/>
        <v>4814775.9987133034</v>
      </c>
    </row>
    <row r="32" spans="1:13" ht="16.5" hidden="1" customHeight="1">
      <c r="I32" s="114">
        <v>30</v>
      </c>
      <c r="J32" s="230">
        <f t="shared" si="0"/>
        <v>52462.800714870151</v>
      </c>
      <c r="K32" s="114">
        <f t="shared" si="4"/>
        <v>45138.52498793722</v>
      </c>
      <c r="L32" s="230">
        <f t="shared" si="5"/>
        <v>7324.2757269329304</v>
      </c>
      <c r="M32" s="231">
        <f t="shared" si="6"/>
        <v>4807451.7229863703</v>
      </c>
    </row>
    <row r="33" spans="9:13" ht="16.5" hidden="1" customHeight="1">
      <c r="I33" s="114">
        <v>31</v>
      </c>
      <c r="J33" s="230">
        <f t="shared" si="0"/>
        <v>52462.800714870151</v>
      </c>
      <c r="K33" s="114">
        <f t="shared" si="4"/>
        <v>45069.859902997217</v>
      </c>
      <c r="L33" s="230">
        <f t="shared" si="5"/>
        <v>7392.9408118729334</v>
      </c>
      <c r="M33" s="231">
        <f t="shared" si="6"/>
        <v>4800058.7821744978</v>
      </c>
    </row>
    <row r="34" spans="9:13" ht="16.5" hidden="1" customHeight="1">
      <c r="I34" s="114">
        <v>32</v>
      </c>
      <c r="J34" s="230">
        <f t="shared" si="0"/>
        <v>52462.800714870151</v>
      </c>
      <c r="K34" s="114">
        <f t="shared" si="4"/>
        <v>45000.551082885919</v>
      </c>
      <c r="L34" s="230">
        <f t="shared" si="5"/>
        <v>7462.2496319842321</v>
      </c>
      <c r="M34" s="231">
        <f t="shared" si="6"/>
        <v>4792596.5325425137</v>
      </c>
    </row>
    <row r="35" spans="9:13" ht="16.5" hidden="1" customHeight="1">
      <c r="I35" s="114">
        <v>33</v>
      </c>
      <c r="J35" s="230">
        <f t="shared" si="0"/>
        <v>52462.800714870151</v>
      </c>
      <c r="K35" s="114">
        <f t="shared" si="4"/>
        <v>44930.592492586067</v>
      </c>
      <c r="L35" s="230">
        <f t="shared" si="5"/>
        <v>7532.2082222840836</v>
      </c>
      <c r="M35" s="231">
        <f t="shared" si="6"/>
        <v>4785064.3243202297</v>
      </c>
    </row>
    <row r="36" spans="9:13" ht="16.5" hidden="1" customHeight="1">
      <c r="I36" s="114">
        <v>34</v>
      </c>
      <c r="J36" s="230">
        <f t="shared" si="0"/>
        <v>52462.800714870151</v>
      </c>
      <c r="K36" s="114">
        <f t="shared" si="4"/>
        <v>44859.978040502152</v>
      </c>
      <c r="L36" s="230">
        <f t="shared" si="5"/>
        <v>7602.8226743679988</v>
      </c>
      <c r="M36" s="231">
        <f t="shared" si="6"/>
        <v>4777461.5016458621</v>
      </c>
    </row>
    <row r="37" spans="9:13" ht="16.5" hidden="1" customHeight="1">
      <c r="I37" s="114">
        <v>35</v>
      </c>
      <c r="J37" s="230">
        <f t="shared" si="0"/>
        <v>52462.800714870151</v>
      </c>
      <c r="K37" s="114">
        <f t="shared" si="4"/>
        <v>44788.701577929955</v>
      </c>
      <c r="L37" s="230">
        <f t="shared" si="5"/>
        <v>7674.0991369401963</v>
      </c>
      <c r="M37" s="231">
        <f t="shared" si="6"/>
        <v>4769787.4025089219</v>
      </c>
    </row>
    <row r="38" spans="9:13" ht="16.5" hidden="1" customHeight="1">
      <c r="I38" s="114">
        <v>36</v>
      </c>
      <c r="J38" s="230">
        <f t="shared" si="0"/>
        <v>52462.800714870151</v>
      </c>
      <c r="K38" s="114">
        <f t="shared" si="4"/>
        <v>44716.75689852114</v>
      </c>
      <c r="L38" s="230">
        <f t="shared" si="5"/>
        <v>7746.0438163490107</v>
      </c>
      <c r="M38" s="231">
        <f t="shared" si="6"/>
        <v>4762041.3586925725</v>
      </c>
    </row>
    <row r="39" spans="9:13" ht="16.5" hidden="1" customHeight="1">
      <c r="I39" s="114">
        <v>37</v>
      </c>
      <c r="J39" s="230">
        <f t="shared" si="0"/>
        <v>52462.800714870151</v>
      </c>
      <c r="K39" s="114">
        <f t="shared" si="4"/>
        <v>44644.137737742865</v>
      </c>
      <c r="L39" s="230">
        <f t="shared" si="5"/>
        <v>7818.6629771272856</v>
      </c>
      <c r="M39" s="231">
        <f t="shared" si="6"/>
        <v>4754222.6957154451</v>
      </c>
    </row>
    <row r="40" spans="9:13" ht="16.5" hidden="1" customHeight="1">
      <c r="I40" s="114">
        <v>38</v>
      </c>
      <c r="J40" s="230">
        <f t="shared" si="0"/>
        <v>52462.800714870151</v>
      </c>
      <c r="K40" s="114">
        <f t="shared" si="4"/>
        <v>44570.837772332299</v>
      </c>
      <c r="L40" s="230">
        <f t="shared" si="5"/>
        <v>7891.9629425378516</v>
      </c>
      <c r="M40" s="231">
        <f t="shared" si="6"/>
        <v>4746330.7327729072</v>
      </c>
    </row>
    <row r="41" spans="9:13" ht="16.5" hidden="1" customHeight="1">
      <c r="I41" s="114">
        <v>39</v>
      </c>
      <c r="J41" s="230">
        <f t="shared" si="0"/>
        <v>52462.800714870151</v>
      </c>
      <c r="K41" s="114">
        <f t="shared" ref="K41:K67" si="7">M40*($C$5/12)</f>
        <v>44496.850619746001</v>
      </c>
      <c r="L41" s="230">
        <f t="shared" ref="L41:L67" si="8">J41-K41</f>
        <v>7965.9500951241498</v>
      </c>
      <c r="M41" s="231">
        <f t="shared" ref="M41:M67" si="9">M40-L41</f>
        <v>4738364.7826777827</v>
      </c>
    </row>
    <row r="42" spans="9:13" ht="16.5" hidden="1" customHeight="1">
      <c r="I42" s="114">
        <v>40</v>
      </c>
      <c r="J42" s="230">
        <f t="shared" si="0"/>
        <v>52462.800714870151</v>
      </c>
      <c r="K42" s="114">
        <f t="shared" si="7"/>
        <v>44422.169837604211</v>
      </c>
      <c r="L42" s="230">
        <f t="shared" si="8"/>
        <v>8040.6308772659395</v>
      </c>
      <c r="M42" s="231">
        <f t="shared" si="9"/>
        <v>4730324.151800517</v>
      </c>
    </row>
    <row r="43" spans="9:13" ht="16.5" hidden="1" customHeight="1">
      <c r="I43" s="114">
        <v>41</v>
      </c>
      <c r="J43" s="230">
        <f t="shared" si="0"/>
        <v>52462.800714870151</v>
      </c>
      <c r="K43" s="114">
        <f t="shared" si="7"/>
        <v>44346.788923129847</v>
      </c>
      <c r="L43" s="230">
        <f t="shared" si="8"/>
        <v>8116.011791740304</v>
      </c>
      <c r="M43" s="231">
        <f t="shared" si="9"/>
        <v>4722208.1400087764</v>
      </c>
    </row>
    <row r="44" spans="9:13" ht="16.5" hidden="1" customHeight="1">
      <c r="I44" s="114">
        <v>42</v>
      </c>
      <c r="J44" s="230">
        <f t="shared" si="0"/>
        <v>52462.800714870151</v>
      </c>
      <c r="K44" s="114">
        <f t="shared" si="7"/>
        <v>44270.701312582278</v>
      </c>
      <c r="L44" s="230">
        <f t="shared" si="8"/>
        <v>8192.0994022878731</v>
      </c>
      <c r="M44" s="231">
        <f t="shared" si="9"/>
        <v>4714016.0406064885</v>
      </c>
    </row>
    <row r="45" spans="9:13" ht="16.5" hidden="1" customHeight="1">
      <c r="I45" s="114">
        <v>43</v>
      </c>
      <c r="J45" s="230">
        <f t="shared" si="0"/>
        <v>52462.800714870151</v>
      </c>
      <c r="K45" s="114">
        <f t="shared" si="7"/>
        <v>44193.900380685831</v>
      </c>
      <c r="L45" s="230">
        <f t="shared" si="8"/>
        <v>8268.9003341843199</v>
      </c>
      <c r="M45" s="231">
        <f t="shared" si="9"/>
        <v>4705747.1402723044</v>
      </c>
    </row>
    <row r="46" spans="9:13" ht="16.5" hidden="1" customHeight="1">
      <c r="I46" s="114">
        <v>44</v>
      </c>
      <c r="J46" s="230">
        <f t="shared" si="0"/>
        <v>52462.800714870151</v>
      </c>
      <c r="K46" s="114">
        <f t="shared" si="7"/>
        <v>44116.37944005285</v>
      </c>
      <c r="L46" s="230">
        <f t="shared" si="8"/>
        <v>8346.4212748173013</v>
      </c>
      <c r="M46" s="231">
        <f t="shared" si="9"/>
        <v>4697400.7189974869</v>
      </c>
    </row>
    <row r="47" spans="9:13" ht="16.5" hidden="1" customHeight="1">
      <c r="I47" s="114">
        <v>45</v>
      </c>
      <c r="J47" s="230">
        <f t="shared" si="0"/>
        <v>52462.800714870151</v>
      </c>
      <c r="K47" s="114">
        <f t="shared" si="7"/>
        <v>44038.131740601435</v>
      </c>
      <c r="L47" s="230">
        <f t="shared" si="8"/>
        <v>8424.6689742687158</v>
      </c>
      <c r="M47" s="231">
        <f t="shared" si="9"/>
        <v>4688976.0500232186</v>
      </c>
    </row>
    <row r="48" spans="9:13" ht="16.5" hidden="1" customHeight="1">
      <c r="I48" s="114">
        <v>46</v>
      </c>
      <c r="J48" s="230">
        <f t="shared" si="0"/>
        <v>52462.800714870151</v>
      </c>
      <c r="K48" s="114">
        <f t="shared" si="7"/>
        <v>43959.150468967673</v>
      </c>
      <c r="L48" s="230">
        <f t="shared" si="8"/>
        <v>8503.6502459024778</v>
      </c>
      <c r="M48" s="231">
        <f t="shared" si="9"/>
        <v>4680472.3997773165</v>
      </c>
    </row>
    <row r="49" spans="9:13" ht="16.5" hidden="1" customHeight="1">
      <c r="I49" s="114">
        <v>47</v>
      </c>
      <c r="J49" s="230">
        <f t="shared" si="0"/>
        <v>52462.800714870151</v>
      </c>
      <c r="K49" s="114">
        <f t="shared" si="7"/>
        <v>43879.428747912338</v>
      </c>
      <c r="L49" s="230">
        <f t="shared" si="8"/>
        <v>8583.3719669578131</v>
      </c>
      <c r="M49" s="231">
        <f t="shared" si="9"/>
        <v>4671889.0278103584</v>
      </c>
    </row>
    <row r="50" spans="9:13" ht="16.5" hidden="1" customHeight="1">
      <c r="I50" s="114">
        <v>48</v>
      </c>
      <c r="J50" s="230">
        <f t="shared" si="0"/>
        <v>52462.800714870151</v>
      </c>
      <c r="K50" s="114">
        <f t="shared" si="7"/>
        <v>43798.959635722109</v>
      </c>
      <c r="L50" s="230">
        <f t="shared" si="8"/>
        <v>8663.8410791480419</v>
      </c>
      <c r="M50" s="231">
        <f t="shared" si="9"/>
        <v>4663225.18673121</v>
      </c>
    </row>
    <row r="51" spans="9:13" ht="16.5" hidden="1" customHeight="1">
      <c r="I51" s="114">
        <v>49</v>
      </c>
      <c r="J51" s="230">
        <f t="shared" si="0"/>
        <v>52462.800714870151</v>
      </c>
      <c r="K51" s="114">
        <f t="shared" si="7"/>
        <v>43717.736125605094</v>
      </c>
      <c r="L51" s="230">
        <f t="shared" si="8"/>
        <v>8745.0645892650573</v>
      </c>
      <c r="M51" s="231">
        <f t="shared" si="9"/>
        <v>4654480.1221419452</v>
      </c>
    </row>
    <row r="52" spans="9:13" ht="16.5" hidden="1" customHeight="1">
      <c r="I52" s="114">
        <v>50</v>
      </c>
      <c r="J52" s="230">
        <f t="shared" si="0"/>
        <v>52462.800714870151</v>
      </c>
      <c r="K52" s="114">
        <f t="shared" si="7"/>
        <v>43635.751145080736</v>
      </c>
      <c r="L52" s="230">
        <f t="shared" si="8"/>
        <v>8827.0495697894148</v>
      </c>
      <c r="M52" s="231">
        <f t="shared" si="9"/>
        <v>4645653.0725721559</v>
      </c>
    </row>
    <row r="53" spans="9:13" ht="16.5" hidden="1" customHeight="1">
      <c r="I53" s="114">
        <v>51</v>
      </c>
      <c r="J53" s="230">
        <f t="shared" si="0"/>
        <v>52462.800714870151</v>
      </c>
      <c r="K53" s="114">
        <f t="shared" si="7"/>
        <v>43552.99755536396</v>
      </c>
      <c r="L53" s="230">
        <f t="shared" si="8"/>
        <v>8909.8031595061912</v>
      </c>
      <c r="M53" s="231">
        <f t="shared" si="9"/>
        <v>4636743.2694126498</v>
      </c>
    </row>
    <row r="54" spans="9:13" ht="16.5" hidden="1" customHeight="1">
      <c r="I54" s="114">
        <v>52</v>
      </c>
      <c r="J54" s="230">
        <f t="shared" si="0"/>
        <v>52462.800714870151</v>
      </c>
      <c r="K54" s="114">
        <f t="shared" si="7"/>
        <v>43469.468150743589</v>
      </c>
      <c r="L54" s="230">
        <f t="shared" si="8"/>
        <v>8993.3325641265619</v>
      </c>
      <c r="M54" s="231">
        <f t="shared" si="9"/>
        <v>4627749.9368485231</v>
      </c>
    </row>
    <row r="55" spans="9:13" ht="16.5" hidden="1" customHeight="1">
      <c r="I55" s="114">
        <v>53</v>
      </c>
      <c r="J55" s="230">
        <f t="shared" si="0"/>
        <v>52462.800714870151</v>
      </c>
      <c r="K55" s="114">
        <f t="shared" si="7"/>
        <v>43385.1556579549</v>
      </c>
      <c r="L55" s="230">
        <f t="shared" si="8"/>
        <v>9077.6450569152512</v>
      </c>
      <c r="M55" s="231">
        <f t="shared" si="9"/>
        <v>4618672.2917916076</v>
      </c>
    </row>
    <row r="56" spans="9:13" ht="16.5" hidden="1" customHeight="1">
      <c r="I56" s="114">
        <v>54</v>
      </c>
      <c r="J56" s="230">
        <f t="shared" si="0"/>
        <v>52462.800714870151</v>
      </c>
      <c r="K56" s="114">
        <f t="shared" si="7"/>
        <v>43300.05273554632</v>
      </c>
      <c r="L56" s="230">
        <f t="shared" si="8"/>
        <v>9162.7479793238308</v>
      </c>
      <c r="M56" s="231">
        <f t="shared" si="9"/>
        <v>4609509.5438122842</v>
      </c>
    </row>
    <row r="57" spans="9:13" ht="16.5" hidden="1" customHeight="1">
      <c r="I57" s="114">
        <v>55</v>
      </c>
      <c r="J57" s="230">
        <f t="shared" si="0"/>
        <v>52462.800714870151</v>
      </c>
      <c r="K57" s="114">
        <f t="shared" si="7"/>
        <v>43214.151973240165</v>
      </c>
      <c r="L57" s="230">
        <f t="shared" si="8"/>
        <v>9248.648741629986</v>
      </c>
      <c r="M57" s="231">
        <f t="shared" si="9"/>
        <v>4600260.8950706543</v>
      </c>
    </row>
    <row r="58" spans="9:13" ht="16.5" hidden="1" customHeight="1">
      <c r="I58" s="114">
        <v>56</v>
      </c>
      <c r="J58" s="230">
        <f t="shared" si="0"/>
        <v>52462.800714870151</v>
      </c>
      <c r="K58" s="114">
        <f t="shared" si="7"/>
        <v>43127.445891287382</v>
      </c>
      <c r="L58" s="230">
        <f t="shared" si="8"/>
        <v>9335.3548235827693</v>
      </c>
      <c r="M58" s="231">
        <f t="shared" si="9"/>
        <v>4590925.5402470715</v>
      </c>
    </row>
    <row r="59" spans="9:13" ht="16.5" hidden="1" customHeight="1">
      <c r="I59" s="114">
        <v>57</v>
      </c>
      <c r="J59" s="230">
        <f t="shared" si="0"/>
        <v>52462.800714870151</v>
      </c>
      <c r="K59" s="114">
        <f t="shared" si="7"/>
        <v>43039.926939816294</v>
      </c>
      <c r="L59" s="230">
        <f t="shared" si="8"/>
        <v>9422.8737750538567</v>
      </c>
      <c r="M59" s="231">
        <f t="shared" si="9"/>
        <v>4581502.6664720178</v>
      </c>
    </row>
    <row r="60" spans="9:13" ht="16.5" hidden="1" customHeight="1">
      <c r="I60" s="114">
        <v>58</v>
      </c>
      <c r="J60" s="230">
        <f t="shared" si="0"/>
        <v>52462.800714870151</v>
      </c>
      <c r="K60" s="114">
        <f t="shared" si="7"/>
        <v>42951.587498175162</v>
      </c>
      <c r="L60" s="230">
        <f t="shared" si="8"/>
        <v>9511.2132166949887</v>
      </c>
      <c r="M60" s="231">
        <f t="shared" si="9"/>
        <v>4571991.4532553228</v>
      </c>
    </row>
    <row r="61" spans="9:13" ht="16.5" hidden="1" customHeight="1">
      <c r="I61" s="114">
        <v>59</v>
      </c>
      <c r="J61" s="230">
        <f t="shared" si="0"/>
        <v>52462.800714870151</v>
      </c>
      <c r="K61" s="114">
        <f t="shared" si="7"/>
        <v>42862.419874268649</v>
      </c>
      <c r="L61" s="230">
        <f t="shared" si="8"/>
        <v>9600.3808406015014</v>
      </c>
      <c r="M61" s="231">
        <f t="shared" si="9"/>
        <v>4562391.0724147214</v>
      </c>
    </row>
    <row r="62" spans="9:13" ht="16.5" hidden="1" customHeight="1">
      <c r="I62" s="114">
        <v>60</v>
      </c>
      <c r="J62" s="230">
        <f t="shared" si="0"/>
        <v>52462.800714870151</v>
      </c>
      <c r="K62" s="114">
        <f t="shared" si="7"/>
        <v>42772.416303888014</v>
      </c>
      <c r="L62" s="230">
        <f t="shared" si="8"/>
        <v>9690.3844109821366</v>
      </c>
      <c r="M62" s="231">
        <f t="shared" si="9"/>
        <v>4552700.6880037393</v>
      </c>
    </row>
    <row r="63" spans="9:13" ht="16.5" hidden="1" customHeight="1">
      <c r="I63" s="114">
        <v>61</v>
      </c>
      <c r="J63" s="230">
        <f t="shared" si="0"/>
        <v>52462.800714870151</v>
      </c>
      <c r="K63" s="114">
        <f t="shared" si="7"/>
        <v>42681.568950035056</v>
      </c>
      <c r="L63" s="230">
        <f t="shared" si="8"/>
        <v>9781.2317648350945</v>
      </c>
      <c r="M63" s="231">
        <f t="shared" si="9"/>
        <v>4542919.456238904</v>
      </c>
    </row>
    <row r="64" spans="9:13" ht="16.5" hidden="1" customHeight="1">
      <c r="I64" s="114">
        <v>62</v>
      </c>
      <c r="J64" s="230">
        <f t="shared" si="0"/>
        <v>52462.800714870151</v>
      </c>
      <c r="K64" s="114">
        <f t="shared" si="7"/>
        <v>42589.869902239727</v>
      </c>
      <c r="L64" s="230">
        <f t="shared" si="8"/>
        <v>9872.930812630424</v>
      </c>
      <c r="M64" s="231">
        <f t="shared" si="9"/>
        <v>4533046.5254262732</v>
      </c>
    </row>
    <row r="65" spans="9:13" ht="16.5" hidden="1" customHeight="1">
      <c r="I65" s="114">
        <v>63</v>
      </c>
      <c r="J65" s="230">
        <f t="shared" si="0"/>
        <v>52462.800714870151</v>
      </c>
      <c r="K65" s="114">
        <f t="shared" si="7"/>
        <v>42497.311175871313</v>
      </c>
      <c r="L65" s="230">
        <f t="shared" si="8"/>
        <v>9965.4895389988378</v>
      </c>
      <c r="M65" s="231">
        <f t="shared" si="9"/>
        <v>4523081.035887274</v>
      </c>
    </row>
    <row r="66" spans="9:13" ht="16.5" hidden="1" customHeight="1">
      <c r="I66" s="114">
        <v>64</v>
      </c>
      <c r="J66" s="230">
        <f t="shared" si="0"/>
        <v>52462.800714870151</v>
      </c>
      <c r="K66" s="114">
        <f t="shared" si="7"/>
        <v>42403.884711443192</v>
      </c>
      <c r="L66" s="230">
        <f t="shared" si="8"/>
        <v>10058.916003426959</v>
      </c>
      <c r="M66" s="231">
        <f t="shared" si="9"/>
        <v>4513022.1198838474</v>
      </c>
    </row>
    <row r="67" spans="9:13" ht="16.5" hidden="1" customHeight="1">
      <c r="I67" s="114">
        <v>65</v>
      </c>
      <c r="J67" s="230">
        <f t="shared" si="0"/>
        <v>52462.800714870151</v>
      </c>
      <c r="K67" s="114">
        <f t="shared" si="7"/>
        <v>42309.582373911071</v>
      </c>
      <c r="L67" s="230">
        <f t="shared" si="8"/>
        <v>10153.21834095908</v>
      </c>
      <c r="M67" s="231">
        <f t="shared" si="9"/>
        <v>4502868.901542888</v>
      </c>
    </row>
    <row r="68" spans="9:13" ht="16.5" hidden="1" customHeight="1">
      <c r="I68" s="114">
        <v>66</v>
      </c>
      <c r="J68" s="230">
        <f t="shared" ref="J68:J131" si="10">$C$7</f>
        <v>52462.800714870151</v>
      </c>
      <c r="K68" s="114">
        <f t="shared" ref="K68:K131" si="11">M67*($C$5/12)</f>
        <v>42214.395951964572</v>
      </c>
      <c r="L68" s="230">
        <f t="shared" ref="L68:L131" si="12">J68-K68</f>
        <v>10248.404762905579</v>
      </c>
      <c r="M68" s="231">
        <f t="shared" ref="M68:M131" si="13">M67-L68</f>
        <v>4492620.496779982</v>
      </c>
    </row>
    <row r="69" spans="9:13" ht="16.5" hidden="1" customHeight="1">
      <c r="I69" s="114">
        <v>67</v>
      </c>
      <c r="J69" s="230">
        <f t="shared" si="10"/>
        <v>52462.800714870151</v>
      </c>
      <c r="K69" s="114">
        <f t="shared" si="11"/>
        <v>42118.317157312333</v>
      </c>
      <c r="L69" s="230">
        <f t="shared" si="12"/>
        <v>10344.483557557818</v>
      </c>
      <c r="M69" s="231">
        <f t="shared" si="13"/>
        <v>4482276.0132224243</v>
      </c>
    </row>
    <row r="70" spans="9:13" ht="16.5" hidden="1" customHeight="1">
      <c r="I70" s="114">
        <v>68</v>
      </c>
      <c r="J70" s="230">
        <f t="shared" si="10"/>
        <v>52462.800714870151</v>
      </c>
      <c r="K70" s="114">
        <f t="shared" si="11"/>
        <v>42021.337623960229</v>
      </c>
      <c r="L70" s="230">
        <f t="shared" si="12"/>
        <v>10441.463090909921</v>
      </c>
      <c r="M70" s="231">
        <f t="shared" si="13"/>
        <v>4471834.5501315147</v>
      </c>
    </row>
    <row r="71" spans="9:13" ht="16.5" hidden="1" customHeight="1">
      <c r="I71" s="114">
        <v>69</v>
      </c>
      <c r="J71" s="230">
        <f t="shared" si="10"/>
        <v>52462.800714870151</v>
      </c>
      <c r="K71" s="114">
        <f t="shared" si="11"/>
        <v>41923.448907482947</v>
      </c>
      <c r="L71" s="230">
        <f t="shared" si="12"/>
        <v>10539.351807387204</v>
      </c>
      <c r="M71" s="231">
        <f t="shared" si="13"/>
        <v>4461295.1983241271</v>
      </c>
    </row>
    <row r="72" spans="9:13" ht="16.5" hidden="1" customHeight="1">
      <c r="I72" s="114">
        <v>70</v>
      </c>
      <c r="J72" s="230">
        <f t="shared" si="10"/>
        <v>52462.800714870151</v>
      </c>
      <c r="K72" s="114">
        <f t="shared" si="11"/>
        <v>41824.642484288692</v>
      </c>
      <c r="L72" s="230">
        <f t="shared" si="12"/>
        <v>10638.158230581459</v>
      </c>
      <c r="M72" s="231">
        <f t="shared" si="13"/>
        <v>4450657.0400935458</v>
      </c>
    </row>
    <row r="73" spans="9:13" ht="16.5" hidden="1" customHeight="1">
      <c r="I73" s="114">
        <v>71</v>
      </c>
      <c r="J73" s="230">
        <f t="shared" si="10"/>
        <v>52462.800714870151</v>
      </c>
      <c r="K73" s="114">
        <f t="shared" si="11"/>
        <v>41724.909750876992</v>
      </c>
      <c r="L73" s="230">
        <f t="shared" si="12"/>
        <v>10737.890963993159</v>
      </c>
      <c r="M73" s="231">
        <f t="shared" si="13"/>
        <v>4439919.1491295528</v>
      </c>
    </row>
    <row r="74" spans="9:13" ht="16.5" hidden="1" customHeight="1">
      <c r="I74" s="114">
        <v>72</v>
      </c>
      <c r="J74" s="230">
        <f t="shared" si="10"/>
        <v>52462.800714870151</v>
      </c>
      <c r="K74" s="114">
        <f t="shared" si="11"/>
        <v>41624.242023089559</v>
      </c>
      <c r="L74" s="230">
        <f t="shared" si="12"/>
        <v>10838.558691780592</v>
      </c>
      <c r="M74" s="231">
        <f t="shared" si="13"/>
        <v>4429080.5904377718</v>
      </c>
    </row>
    <row r="75" spans="9:13" ht="16.5" hidden="1" customHeight="1">
      <c r="I75" s="114">
        <v>73</v>
      </c>
      <c r="J75" s="230">
        <f t="shared" si="10"/>
        <v>52462.800714870151</v>
      </c>
      <c r="K75" s="114">
        <f t="shared" si="11"/>
        <v>41522.63053535411</v>
      </c>
      <c r="L75" s="230">
        <f t="shared" si="12"/>
        <v>10940.170179516041</v>
      </c>
      <c r="M75" s="231">
        <f t="shared" si="13"/>
        <v>4418140.4202582557</v>
      </c>
    </row>
    <row r="76" spans="9:13" ht="16.5" hidden="1" customHeight="1">
      <c r="I76" s="114">
        <v>74</v>
      </c>
      <c r="J76" s="230">
        <f t="shared" si="10"/>
        <v>52462.800714870151</v>
      </c>
      <c r="K76" s="114">
        <f t="shared" si="11"/>
        <v>41420.066439921146</v>
      </c>
      <c r="L76" s="230">
        <f t="shared" si="12"/>
        <v>11042.734274949005</v>
      </c>
      <c r="M76" s="231">
        <f t="shared" si="13"/>
        <v>4407097.6859833067</v>
      </c>
    </row>
    <row r="77" spans="9:13" ht="16.5" hidden="1" customHeight="1">
      <c r="I77" s="114">
        <v>75</v>
      </c>
      <c r="J77" s="230">
        <f t="shared" si="10"/>
        <v>52462.800714870151</v>
      </c>
      <c r="K77" s="114">
        <f t="shared" si="11"/>
        <v>41316.540806093501</v>
      </c>
      <c r="L77" s="230">
        <f t="shared" si="12"/>
        <v>11146.25990877665</v>
      </c>
      <c r="M77" s="231">
        <f t="shared" si="13"/>
        <v>4395951.42607453</v>
      </c>
    </row>
    <row r="78" spans="9:13" ht="16.5" hidden="1" customHeight="1">
      <c r="I78" s="114">
        <v>76</v>
      </c>
      <c r="J78" s="230">
        <f t="shared" si="10"/>
        <v>52462.800714870151</v>
      </c>
      <c r="K78" s="114">
        <f t="shared" si="11"/>
        <v>41212.044619448716</v>
      </c>
      <c r="L78" s="230">
        <f t="shared" si="12"/>
        <v>11250.756095421435</v>
      </c>
      <c r="M78" s="231">
        <f t="shared" si="13"/>
        <v>4384700.6699791085</v>
      </c>
    </row>
    <row r="79" spans="9:13" ht="16.5" hidden="1" customHeight="1">
      <c r="I79" s="114">
        <v>77</v>
      </c>
      <c r="J79" s="230">
        <f t="shared" si="10"/>
        <v>52462.800714870151</v>
      </c>
      <c r="K79" s="114">
        <f t="shared" si="11"/>
        <v>41106.568781054142</v>
      </c>
      <c r="L79" s="230">
        <f t="shared" si="12"/>
        <v>11356.231933816009</v>
      </c>
      <c r="M79" s="231">
        <f t="shared" si="13"/>
        <v>4373344.4380452922</v>
      </c>
    </row>
    <row r="80" spans="9:13" ht="16.5" hidden="1" customHeight="1">
      <c r="I80" s="114">
        <v>78</v>
      </c>
      <c r="J80" s="230">
        <f t="shared" si="10"/>
        <v>52462.800714870151</v>
      </c>
      <c r="K80" s="114">
        <f t="shared" si="11"/>
        <v>41000.104106674611</v>
      </c>
      <c r="L80" s="230">
        <f t="shared" si="12"/>
        <v>11462.69660819554</v>
      </c>
      <c r="M80" s="231">
        <f t="shared" si="13"/>
        <v>4361881.7414370971</v>
      </c>
    </row>
    <row r="81" spans="9:13" ht="16.5" hidden="1" customHeight="1">
      <c r="I81" s="114">
        <v>79</v>
      </c>
      <c r="J81" s="230">
        <f t="shared" si="10"/>
        <v>52462.800714870151</v>
      </c>
      <c r="K81" s="114">
        <f t="shared" si="11"/>
        <v>40892.641325972785</v>
      </c>
      <c r="L81" s="230">
        <f t="shared" si="12"/>
        <v>11570.159388897366</v>
      </c>
      <c r="M81" s="231">
        <f t="shared" si="13"/>
        <v>4350311.5820482001</v>
      </c>
    </row>
    <row r="82" spans="9:13" ht="16.5" hidden="1" customHeight="1">
      <c r="I82" s="114">
        <v>80</v>
      </c>
      <c r="J82" s="230">
        <f t="shared" si="10"/>
        <v>52462.800714870151</v>
      </c>
      <c r="K82" s="114">
        <f t="shared" si="11"/>
        <v>40784.171081701876</v>
      </c>
      <c r="L82" s="230">
        <f t="shared" si="12"/>
        <v>11678.629633168275</v>
      </c>
      <c r="M82" s="231">
        <f t="shared" si="13"/>
        <v>4338632.9524150314</v>
      </c>
    </row>
    <row r="83" spans="9:13" ht="16.5" hidden="1" customHeight="1">
      <c r="I83" s="114">
        <v>81</v>
      </c>
      <c r="J83" s="230">
        <f t="shared" si="10"/>
        <v>52462.800714870151</v>
      </c>
      <c r="K83" s="114">
        <f t="shared" si="11"/>
        <v>40674.683928890918</v>
      </c>
      <c r="L83" s="230">
        <f t="shared" si="12"/>
        <v>11788.116785979233</v>
      </c>
      <c r="M83" s="231">
        <f t="shared" si="13"/>
        <v>4326844.8356290525</v>
      </c>
    </row>
    <row r="84" spans="9:13" ht="16.5" hidden="1" customHeight="1">
      <c r="I84" s="114">
        <v>82</v>
      </c>
      <c r="J84" s="230">
        <f t="shared" si="10"/>
        <v>52462.800714870151</v>
      </c>
      <c r="K84" s="114">
        <f t="shared" si="11"/>
        <v>40564.170334022368</v>
      </c>
      <c r="L84" s="230">
        <f t="shared" si="12"/>
        <v>11898.630380847782</v>
      </c>
      <c r="M84" s="231">
        <f t="shared" si="13"/>
        <v>4314946.205248205</v>
      </c>
    </row>
    <row r="85" spans="9:13" ht="16.5" hidden="1" customHeight="1">
      <c r="I85" s="114">
        <v>83</v>
      </c>
      <c r="J85" s="230">
        <f t="shared" si="10"/>
        <v>52462.800714870151</v>
      </c>
      <c r="K85" s="114">
        <f t="shared" si="11"/>
        <v>40452.62067420192</v>
      </c>
      <c r="L85" s="230">
        <f t="shared" si="12"/>
        <v>12010.180040668231</v>
      </c>
      <c r="M85" s="231">
        <f t="shared" si="13"/>
        <v>4302936.0252075363</v>
      </c>
    </row>
    <row r="86" spans="9:13" ht="16.5" hidden="1" customHeight="1">
      <c r="I86" s="114">
        <v>84</v>
      </c>
      <c r="J86" s="230">
        <f t="shared" si="10"/>
        <v>52462.800714870151</v>
      </c>
      <c r="K86" s="114">
        <f t="shared" si="11"/>
        <v>40340.025236320653</v>
      </c>
      <c r="L86" s="230">
        <f t="shared" si="12"/>
        <v>12122.775478549498</v>
      </c>
      <c r="M86" s="231">
        <f t="shared" si="13"/>
        <v>4290813.249728987</v>
      </c>
    </row>
    <row r="87" spans="9:13" ht="16.5" hidden="1" customHeight="1">
      <c r="I87" s="114">
        <v>85</v>
      </c>
      <c r="J87" s="230">
        <f t="shared" si="10"/>
        <v>52462.800714870151</v>
      </c>
      <c r="K87" s="114">
        <f t="shared" si="11"/>
        <v>40226.374216209253</v>
      </c>
      <c r="L87" s="230">
        <f t="shared" si="12"/>
        <v>12236.426498660898</v>
      </c>
      <c r="M87" s="231">
        <f t="shared" si="13"/>
        <v>4278576.8232303262</v>
      </c>
    </row>
    <row r="88" spans="9:13" ht="16.5" hidden="1" customHeight="1">
      <c r="I88" s="114">
        <v>86</v>
      </c>
      <c r="J88" s="230">
        <f t="shared" si="10"/>
        <v>52462.800714870151</v>
      </c>
      <c r="K88" s="114">
        <f t="shared" si="11"/>
        <v>40111.657717784306</v>
      </c>
      <c r="L88" s="230">
        <f t="shared" si="12"/>
        <v>12351.142997085844</v>
      </c>
      <c r="M88" s="231">
        <f t="shared" si="13"/>
        <v>4266225.6802332401</v>
      </c>
    </row>
    <row r="89" spans="9:13" ht="16.5" hidden="1" customHeight="1">
      <c r="I89" s="114">
        <v>87</v>
      </c>
      <c r="J89" s="230">
        <f t="shared" si="10"/>
        <v>52462.800714870151</v>
      </c>
      <c r="K89" s="114">
        <f t="shared" si="11"/>
        <v>39995.865752186626</v>
      </c>
      <c r="L89" s="230">
        <f t="shared" si="12"/>
        <v>12466.934962683525</v>
      </c>
      <c r="M89" s="231">
        <f t="shared" si="13"/>
        <v>4253758.7452705568</v>
      </c>
    </row>
    <row r="90" spans="9:13" ht="16.5" hidden="1" customHeight="1">
      <c r="I90" s="114">
        <v>88</v>
      </c>
      <c r="J90" s="230">
        <f t="shared" si="10"/>
        <v>52462.800714870151</v>
      </c>
      <c r="K90" s="114">
        <f t="shared" si="11"/>
        <v>39878.988236911471</v>
      </c>
      <c r="L90" s="230">
        <f t="shared" si="12"/>
        <v>12583.81247795868</v>
      </c>
      <c r="M90" s="231">
        <f t="shared" si="13"/>
        <v>4241174.9327925984</v>
      </c>
    </row>
    <row r="91" spans="9:13" ht="16.5" hidden="1" customHeight="1">
      <c r="I91" s="114">
        <v>89</v>
      </c>
      <c r="J91" s="230">
        <f t="shared" si="10"/>
        <v>52462.800714870151</v>
      </c>
      <c r="K91" s="114">
        <f t="shared" si="11"/>
        <v>39761.014994930607</v>
      </c>
      <c r="L91" s="230">
        <f t="shared" si="12"/>
        <v>12701.785719939544</v>
      </c>
      <c r="M91" s="231">
        <f t="shared" si="13"/>
        <v>4228473.1470726589</v>
      </c>
    </row>
    <row r="92" spans="9:13" ht="16.5" hidden="1" customHeight="1">
      <c r="I92" s="114">
        <v>90</v>
      </c>
      <c r="J92" s="230">
        <f t="shared" si="10"/>
        <v>52462.800714870151</v>
      </c>
      <c r="K92" s="114">
        <f t="shared" si="11"/>
        <v>39641.935753806174</v>
      </c>
      <c r="L92" s="230">
        <f t="shared" si="12"/>
        <v>12820.864961063977</v>
      </c>
      <c r="M92" s="231">
        <f t="shared" si="13"/>
        <v>4215652.2821115945</v>
      </c>
    </row>
    <row r="93" spans="9:13" ht="16.5" hidden="1" customHeight="1">
      <c r="I93" s="114">
        <v>91</v>
      </c>
      <c r="J93" s="230">
        <f t="shared" si="10"/>
        <v>52462.800714870151</v>
      </c>
      <c r="K93" s="114">
        <f t="shared" si="11"/>
        <v>39521.740144796197</v>
      </c>
      <c r="L93" s="230">
        <f t="shared" si="12"/>
        <v>12941.060570073954</v>
      </c>
      <c r="M93" s="231">
        <f t="shared" si="13"/>
        <v>4202711.2215415202</v>
      </c>
    </row>
    <row r="94" spans="9:13" ht="16.5" hidden="1" customHeight="1">
      <c r="I94" s="114">
        <v>92</v>
      </c>
      <c r="J94" s="230">
        <f t="shared" si="10"/>
        <v>52462.800714870151</v>
      </c>
      <c r="K94" s="114">
        <f t="shared" si="11"/>
        <v>39400.417701951752</v>
      </c>
      <c r="L94" s="230">
        <f t="shared" si="12"/>
        <v>13062.383012918399</v>
      </c>
      <c r="M94" s="231">
        <f t="shared" si="13"/>
        <v>4189648.8385286019</v>
      </c>
    </row>
    <row r="95" spans="9:13" ht="16.5" hidden="1" customHeight="1">
      <c r="I95" s="114">
        <v>93</v>
      </c>
      <c r="J95" s="230">
        <f t="shared" si="10"/>
        <v>52462.800714870151</v>
      </c>
      <c r="K95" s="114">
        <f t="shared" si="11"/>
        <v>39277.957861205643</v>
      </c>
      <c r="L95" s="230">
        <f t="shared" si="12"/>
        <v>13184.842853664508</v>
      </c>
      <c r="M95" s="231">
        <f t="shared" si="13"/>
        <v>4176463.9956749375</v>
      </c>
    </row>
    <row r="96" spans="9:13" ht="16.5" hidden="1" customHeight="1">
      <c r="I96" s="114">
        <v>94</v>
      </c>
      <c r="J96" s="230">
        <f t="shared" si="10"/>
        <v>52462.800714870151</v>
      </c>
      <c r="K96" s="114">
        <f t="shared" si="11"/>
        <v>39154.349959452535</v>
      </c>
      <c r="L96" s="230">
        <f t="shared" si="12"/>
        <v>13308.450755417616</v>
      </c>
      <c r="M96" s="231">
        <f t="shared" si="13"/>
        <v>4163155.5449195197</v>
      </c>
    </row>
    <row r="97" spans="9:13" ht="16.5" hidden="1" customHeight="1">
      <c r="I97" s="114">
        <v>95</v>
      </c>
      <c r="J97" s="230">
        <f t="shared" si="10"/>
        <v>52462.800714870151</v>
      </c>
      <c r="K97" s="114">
        <f t="shared" si="11"/>
        <v>39029.583233620499</v>
      </c>
      <c r="L97" s="230">
        <f t="shared" si="12"/>
        <v>13433.217481249652</v>
      </c>
      <c r="M97" s="231">
        <f t="shared" si="13"/>
        <v>4149722.3274382702</v>
      </c>
    </row>
    <row r="98" spans="9:13" ht="16.5" hidden="1" customHeight="1">
      <c r="I98" s="114">
        <v>96</v>
      </c>
      <c r="J98" s="230">
        <f t="shared" si="10"/>
        <v>52462.800714870151</v>
      </c>
      <c r="K98" s="114">
        <f t="shared" si="11"/>
        <v>38903.646819733782</v>
      </c>
      <c r="L98" s="230">
        <f t="shared" si="12"/>
        <v>13559.153895136369</v>
      </c>
      <c r="M98" s="231">
        <f t="shared" si="13"/>
        <v>4136163.1735431338</v>
      </c>
    </row>
    <row r="99" spans="9:13" ht="16.5" hidden="1" customHeight="1">
      <c r="I99" s="114">
        <v>97</v>
      </c>
      <c r="J99" s="230">
        <f t="shared" si="10"/>
        <v>52462.800714870151</v>
      </c>
      <c r="K99" s="114">
        <f t="shared" si="11"/>
        <v>38776.529751966875</v>
      </c>
      <c r="L99" s="230">
        <f t="shared" si="12"/>
        <v>13686.270962903276</v>
      </c>
      <c r="M99" s="231">
        <f t="shared" si="13"/>
        <v>4122476.9025802305</v>
      </c>
    </row>
    <row r="100" spans="9:13" ht="16.5" hidden="1" customHeight="1">
      <c r="I100" s="114">
        <v>98</v>
      </c>
      <c r="J100" s="230">
        <f t="shared" si="10"/>
        <v>52462.800714870151</v>
      </c>
      <c r="K100" s="114">
        <f t="shared" si="11"/>
        <v>38648.220961689658</v>
      </c>
      <c r="L100" s="230">
        <f t="shared" si="12"/>
        <v>13814.579753180493</v>
      </c>
      <c r="M100" s="231">
        <f t="shared" si="13"/>
        <v>4108662.32282705</v>
      </c>
    </row>
    <row r="101" spans="9:13" ht="16.5" hidden="1" customHeight="1">
      <c r="I101" s="114">
        <v>99</v>
      </c>
      <c r="J101" s="230">
        <f t="shared" si="10"/>
        <v>52462.800714870151</v>
      </c>
      <c r="K101" s="114">
        <f t="shared" si="11"/>
        <v>38518.709276503592</v>
      </c>
      <c r="L101" s="230">
        <f t="shared" si="12"/>
        <v>13944.091438366559</v>
      </c>
      <c r="M101" s="231">
        <f t="shared" si="13"/>
        <v>4094718.2313886834</v>
      </c>
    </row>
    <row r="102" spans="9:13" ht="16.5" hidden="1" customHeight="1">
      <c r="I102" s="114">
        <v>100</v>
      </c>
      <c r="J102" s="230">
        <f t="shared" si="10"/>
        <v>52462.800714870151</v>
      </c>
      <c r="K102" s="114">
        <f t="shared" si="11"/>
        <v>38387.983419268909</v>
      </c>
      <c r="L102" s="230">
        <f t="shared" si="12"/>
        <v>14074.817295601242</v>
      </c>
      <c r="M102" s="231">
        <f t="shared" si="13"/>
        <v>4080643.4140930823</v>
      </c>
    </row>
    <row r="103" spans="9:13" ht="16.5" hidden="1" customHeight="1">
      <c r="I103" s="114">
        <v>101</v>
      </c>
      <c r="J103" s="230">
        <f t="shared" si="10"/>
        <v>52462.800714870151</v>
      </c>
      <c r="K103" s="114">
        <f t="shared" si="11"/>
        <v>38256.032007122645</v>
      </c>
      <c r="L103" s="230">
        <f t="shared" si="12"/>
        <v>14206.768707747506</v>
      </c>
      <c r="M103" s="231">
        <f t="shared" si="13"/>
        <v>4066436.6453853347</v>
      </c>
    </row>
    <row r="104" spans="9:13" ht="16.5" hidden="1" customHeight="1">
      <c r="I104" s="114">
        <v>102</v>
      </c>
      <c r="J104" s="230">
        <f t="shared" si="10"/>
        <v>52462.800714870151</v>
      </c>
      <c r="K104" s="114">
        <f t="shared" si="11"/>
        <v>38122.843550487509</v>
      </c>
      <c r="L104" s="230">
        <f t="shared" si="12"/>
        <v>14339.957164382642</v>
      </c>
      <c r="M104" s="231">
        <f t="shared" si="13"/>
        <v>4052096.6882209522</v>
      </c>
    </row>
    <row r="105" spans="9:13" ht="16.5" hidden="1" customHeight="1">
      <c r="I105" s="114">
        <v>103</v>
      </c>
      <c r="J105" s="230">
        <f t="shared" si="10"/>
        <v>52462.800714870151</v>
      </c>
      <c r="K105" s="114">
        <f t="shared" si="11"/>
        <v>37988.406452071424</v>
      </c>
      <c r="L105" s="230">
        <f t="shared" si="12"/>
        <v>14474.394262798727</v>
      </c>
      <c r="M105" s="231">
        <f t="shared" si="13"/>
        <v>4037622.2939581536</v>
      </c>
    </row>
    <row r="106" spans="9:13" ht="16.5" hidden="1" customHeight="1">
      <c r="I106" s="114">
        <v>104</v>
      </c>
      <c r="J106" s="230">
        <f t="shared" si="10"/>
        <v>52462.800714870151</v>
      </c>
      <c r="K106" s="114">
        <f t="shared" si="11"/>
        <v>37852.709005857687</v>
      </c>
      <c r="L106" s="230">
        <f t="shared" si="12"/>
        <v>14610.091709012464</v>
      </c>
      <c r="M106" s="231">
        <f t="shared" si="13"/>
        <v>4023012.2022491409</v>
      </c>
    </row>
    <row r="107" spans="9:13" ht="16.5" hidden="1" customHeight="1">
      <c r="I107" s="114">
        <v>105</v>
      </c>
      <c r="J107" s="230">
        <f t="shared" si="10"/>
        <v>52462.800714870151</v>
      </c>
      <c r="K107" s="114">
        <f t="shared" si="11"/>
        <v>37715.739396085693</v>
      </c>
      <c r="L107" s="230">
        <f t="shared" si="12"/>
        <v>14747.061318784457</v>
      </c>
      <c r="M107" s="231">
        <f t="shared" si="13"/>
        <v>4008265.1409303565</v>
      </c>
    </row>
    <row r="108" spans="9:13" ht="16.5" hidden="1" customHeight="1">
      <c r="I108" s="114">
        <v>106</v>
      </c>
      <c r="J108" s="230">
        <f t="shared" si="10"/>
        <v>52462.800714870151</v>
      </c>
      <c r="K108" s="114">
        <f t="shared" si="11"/>
        <v>37577.485696222087</v>
      </c>
      <c r="L108" s="230">
        <f t="shared" si="12"/>
        <v>14885.315018648063</v>
      </c>
      <c r="M108" s="231">
        <f t="shared" si="13"/>
        <v>3993379.8259117082</v>
      </c>
    </row>
    <row r="109" spans="9:13" ht="16.5" hidden="1" customHeight="1">
      <c r="I109" s="114">
        <v>107</v>
      </c>
      <c r="J109" s="230">
        <f t="shared" si="10"/>
        <v>52462.800714870151</v>
      </c>
      <c r="K109" s="114">
        <f t="shared" si="11"/>
        <v>37437.935867922264</v>
      </c>
      <c r="L109" s="230">
        <f t="shared" si="12"/>
        <v>15024.864846947887</v>
      </c>
      <c r="M109" s="231">
        <f t="shared" si="13"/>
        <v>3978354.9610647601</v>
      </c>
    </row>
    <row r="110" spans="9:13" ht="16.5" hidden="1" customHeight="1">
      <c r="I110" s="114">
        <v>108</v>
      </c>
      <c r="J110" s="230">
        <f t="shared" si="10"/>
        <v>52462.800714870151</v>
      </c>
      <c r="K110" s="114">
        <f t="shared" si="11"/>
        <v>37297.077759982123</v>
      </c>
      <c r="L110" s="230">
        <f t="shared" si="12"/>
        <v>15165.722954888028</v>
      </c>
      <c r="M110" s="231">
        <f t="shared" si="13"/>
        <v>3963189.2381098722</v>
      </c>
    </row>
    <row r="111" spans="9:13" ht="16.5" hidden="1" customHeight="1">
      <c r="I111" s="114">
        <v>109</v>
      </c>
      <c r="J111" s="230">
        <f t="shared" si="10"/>
        <v>52462.800714870151</v>
      </c>
      <c r="K111" s="114">
        <f t="shared" si="11"/>
        <v>37154.899107280049</v>
      </c>
      <c r="L111" s="230">
        <f t="shared" si="12"/>
        <v>15307.901607590102</v>
      </c>
      <c r="M111" s="231">
        <f t="shared" si="13"/>
        <v>3947881.3365022819</v>
      </c>
    </row>
    <row r="112" spans="9:13" ht="16.5" hidden="1" customHeight="1">
      <c r="I112" s="114">
        <v>110</v>
      </c>
      <c r="J112" s="230">
        <f t="shared" si="10"/>
        <v>52462.800714870151</v>
      </c>
      <c r="K112" s="114">
        <f t="shared" si="11"/>
        <v>37011.387529708889</v>
      </c>
      <c r="L112" s="230">
        <f t="shared" si="12"/>
        <v>15451.413185161262</v>
      </c>
      <c r="M112" s="231">
        <f t="shared" si="13"/>
        <v>3932429.9233171209</v>
      </c>
    </row>
    <row r="113" spans="9:13" ht="16.5" hidden="1" customHeight="1">
      <c r="I113" s="114">
        <v>111</v>
      </c>
      <c r="J113" s="230">
        <f t="shared" si="10"/>
        <v>52462.800714870151</v>
      </c>
      <c r="K113" s="114">
        <f t="shared" si="11"/>
        <v>36866.530531098004</v>
      </c>
      <c r="L113" s="230">
        <f t="shared" si="12"/>
        <v>15596.270183772147</v>
      </c>
      <c r="M113" s="231">
        <f t="shared" si="13"/>
        <v>3916833.6531333486</v>
      </c>
    </row>
    <row r="114" spans="9:13" ht="16.5" hidden="1" customHeight="1">
      <c r="I114" s="114">
        <v>112</v>
      </c>
      <c r="J114" s="230">
        <f t="shared" si="10"/>
        <v>52462.800714870151</v>
      </c>
      <c r="K114" s="114">
        <f t="shared" si="11"/>
        <v>36720.315498125143</v>
      </c>
      <c r="L114" s="230">
        <f t="shared" si="12"/>
        <v>15742.485216745008</v>
      </c>
      <c r="M114" s="231">
        <f t="shared" si="13"/>
        <v>3901091.1679166034</v>
      </c>
    </row>
    <row r="115" spans="9:13" ht="16.5" hidden="1" customHeight="1">
      <c r="I115" s="114">
        <v>113</v>
      </c>
      <c r="J115" s="230">
        <f t="shared" si="10"/>
        <v>52462.800714870151</v>
      </c>
      <c r="K115" s="114">
        <f t="shared" si="11"/>
        <v>36572.729699218158</v>
      </c>
      <c r="L115" s="230">
        <f t="shared" si="12"/>
        <v>15890.071015651993</v>
      </c>
      <c r="M115" s="231">
        <f t="shared" si="13"/>
        <v>3885201.0969009516</v>
      </c>
    </row>
    <row r="116" spans="9:13" ht="16.5" hidden="1" customHeight="1">
      <c r="I116" s="114">
        <v>114</v>
      </c>
      <c r="J116" s="230">
        <f t="shared" si="10"/>
        <v>52462.800714870151</v>
      </c>
      <c r="K116" s="114">
        <f t="shared" si="11"/>
        <v>36423.76028344642</v>
      </c>
      <c r="L116" s="230">
        <f t="shared" si="12"/>
        <v>16039.040431423731</v>
      </c>
      <c r="M116" s="231">
        <f t="shared" si="13"/>
        <v>3869162.056469528</v>
      </c>
    </row>
    <row r="117" spans="9:13" ht="16.5" hidden="1" customHeight="1">
      <c r="I117" s="114">
        <v>115</v>
      </c>
      <c r="J117" s="230">
        <f t="shared" si="10"/>
        <v>52462.800714870151</v>
      </c>
      <c r="K117" s="114">
        <f t="shared" si="11"/>
        <v>36273.394279401822</v>
      </c>
      <c r="L117" s="230">
        <f t="shared" si="12"/>
        <v>16189.406435468329</v>
      </c>
      <c r="M117" s="231">
        <f t="shared" si="13"/>
        <v>3852972.6500340598</v>
      </c>
    </row>
    <row r="118" spans="9:13" ht="16.5" hidden="1" customHeight="1">
      <c r="I118" s="114">
        <v>116</v>
      </c>
      <c r="J118" s="230">
        <f t="shared" si="10"/>
        <v>52462.800714870151</v>
      </c>
      <c r="K118" s="114">
        <f t="shared" si="11"/>
        <v>36121.61859406931</v>
      </c>
      <c r="L118" s="230">
        <f t="shared" si="12"/>
        <v>16341.18212080084</v>
      </c>
      <c r="M118" s="231">
        <f t="shared" si="13"/>
        <v>3836631.4679132588</v>
      </c>
    </row>
    <row r="119" spans="9:13" ht="16.5" hidden="1" customHeight="1">
      <c r="I119" s="114">
        <v>117</v>
      </c>
      <c r="J119" s="230">
        <f t="shared" si="10"/>
        <v>52462.800714870151</v>
      </c>
      <c r="K119" s="114">
        <f t="shared" si="11"/>
        <v>35968.420011686801</v>
      </c>
      <c r="L119" s="230">
        <f t="shared" si="12"/>
        <v>16494.380703183349</v>
      </c>
      <c r="M119" s="231">
        <f t="shared" si="13"/>
        <v>3820137.0872100755</v>
      </c>
    </row>
    <row r="120" spans="9:13" ht="16.5" hidden="1" customHeight="1">
      <c r="I120" s="114">
        <v>118</v>
      </c>
      <c r="J120" s="230">
        <f t="shared" si="10"/>
        <v>52462.800714870151</v>
      </c>
      <c r="K120" s="114">
        <f t="shared" si="11"/>
        <v>35813.785192594456</v>
      </c>
      <c r="L120" s="230">
        <f t="shared" si="12"/>
        <v>16649.015522275695</v>
      </c>
      <c r="M120" s="231">
        <f t="shared" si="13"/>
        <v>3803488.0716877999</v>
      </c>
    </row>
    <row r="121" spans="9:13" ht="16.5" hidden="1" customHeight="1">
      <c r="I121" s="114">
        <v>119</v>
      </c>
      <c r="J121" s="230">
        <f t="shared" si="10"/>
        <v>52462.800714870151</v>
      </c>
      <c r="K121" s="114">
        <f t="shared" si="11"/>
        <v>35657.700672073122</v>
      </c>
      <c r="L121" s="230">
        <f t="shared" si="12"/>
        <v>16805.100042797028</v>
      </c>
      <c r="M121" s="231">
        <f t="shared" si="13"/>
        <v>3786682.9716450027</v>
      </c>
    </row>
    <row r="122" spans="9:13" ht="16.5" hidden="1" customHeight="1">
      <c r="I122" s="114">
        <v>120</v>
      </c>
      <c r="J122" s="230">
        <f t="shared" si="10"/>
        <v>52462.800714870151</v>
      </c>
      <c r="K122" s="114">
        <f t="shared" si="11"/>
        <v>35500.152859171896</v>
      </c>
      <c r="L122" s="230">
        <f t="shared" si="12"/>
        <v>16962.647855698255</v>
      </c>
      <c r="M122" s="231">
        <f t="shared" si="13"/>
        <v>3769720.3237893046</v>
      </c>
    </row>
    <row r="123" spans="9:13" ht="16.5" hidden="1" customHeight="1">
      <c r="I123" s="114">
        <v>121</v>
      </c>
      <c r="J123" s="230">
        <f t="shared" si="10"/>
        <v>52462.800714870151</v>
      </c>
      <c r="K123" s="114">
        <f t="shared" si="11"/>
        <v>35341.128035524729</v>
      </c>
      <c r="L123" s="230">
        <f t="shared" si="12"/>
        <v>17121.672679345422</v>
      </c>
      <c r="M123" s="231">
        <f t="shared" si="13"/>
        <v>3752598.651109959</v>
      </c>
    </row>
    <row r="124" spans="9:13" ht="16.5" hidden="1" customHeight="1">
      <c r="I124" s="114">
        <v>122</v>
      </c>
      <c r="J124" s="230">
        <f t="shared" si="10"/>
        <v>52462.800714870151</v>
      </c>
      <c r="K124" s="114">
        <f t="shared" si="11"/>
        <v>35180.612354155863</v>
      </c>
      <c r="L124" s="230">
        <f t="shared" si="12"/>
        <v>17282.188360714288</v>
      </c>
      <c r="M124" s="231">
        <f t="shared" si="13"/>
        <v>3735316.4627492446</v>
      </c>
    </row>
    <row r="125" spans="9:13" ht="16.5" hidden="1" customHeight="1">
      <c r="I125" s="114">
        <v>123</v>
      </c>
      <c r="J125" s="230">
        <f t="shared" si="10"/>
        <v>52462.800714870151</v>
      </c>
      <c r="K125" s="114">
        <f t="shared" si="11"/>
        <v>35018.591838274166</v>
      </c>
      <c r="L125" s="230">
        <f t="shared" si="12"/>
        <v>17444.208876595985</v>
      </c>
      <c r="M125" s="231">
        <f t="shared" si="13"/>
        <v>3717872.2538726488</v>
      </c>
    </row>
    <row r="126" spans="9:13" ht="16.5" hidden="1" customHeight="1">
      <c r="I126" s="114">
        <v>124</v>
      </c>
      <c r="J126" s="230">
        <f t="shared" si="10"/>
        <v>52462.800714870151</v>
      </c>
      <c r="K126" s="114">
        <f t="shared" si="11"/>
        <v>34855.052380056084</v>
      </c>
      <c r="L126" s="230">
        <f t="shared" si="12"/>
        <v>17607.748334814067</v>
      </c>
      <c r="M126" s="231">
        <f t="shared" si="13"/>
        <v>3700264.5055378349</v>
      </c>
    </row>
    <row r="127" spans="9:13" ht="16.5" hidden="1" customHeight="1">
      <c r="I127" s="114">
        <v>125</v>
      </c>
      <c r="J127" s="230">
        <f t="shared" si="10"/>
        <v>52462.800714870151</v>
      </c>
      <c r="K127" s="114">
        <f t="shared" si="11"/>
        <v>34689.979739417198</v>
      </c>
      <c r="L127" s="230">
        <f t="shared" si="12"/>
        <v>17772.820975452953</v>
      </c>
      <c r="M127" s="231">
        <f t="shared" si="13"/>
        <v>3682491.6845623818</v>
      </c>
    </row>
    <row r="128" spans="9:13" ht="16.5" hidden="1" customHeight="1">
      <c r="I128" s="114">
        <v>126</v>
      </c>
      <c r="J128" s="230">
        <f t="shared" si="10"/>
        <v>52462.800714870151</v>
      </c>
      <c r="K128" s="114">
        <f t="shared" si="11"/>
        <v>34523.359542772327</v>
      </c>
      <c r="L128" s="230">
        <f t="shared" si="12"/>
        <v>17939.441172097824</v>
      </c>
      <c r="M128" s="231">
        <f t="shared" si="13"/>
        <v>3664552.243390284</v>
      </c>
    </row>
    <row r="129" spans="9:13" ht="16.5" hidden="1" customHeight="1">
      <c r="I129" s="114">
        <v>127</v>
      </c>
      <c r="J129" s="230">
        <f t="shared" si="10"/>
        <v>52462.800714870151</v>
      </c>
      <c r="K129" s="114">
        <f t="shared" si="11"/>
        <v>34355.177281783908</v>
      </c>
      <c r="L129" s="230">
        <f t="shared" si="12"/>
        <v>18107.623433086243</v>
      </c>
      <c r="M129" s="231">
        <f t="shared" si="13"/>
        <v>3646444.6199571979</v>
      </c>
    </row>
    <row r="130" spans="9:13" ht="16.5" hidden="1" customHeight="1">
      <c r="I130" s="114">
        <v>128</v>
      </c>
      <c r="J130" s="230">
        <f t="shared" si="10"/>
        <v>52462.800714870151</v>
      </c>
      <c r="K130" s="114">
        <f t="shared" si="11"/>
        <v>34185.418312098729</v>
      </c>
      <c r="L130" s="230">
        <f t="shared" si="12"/>
        <v>18277.382402771422</v>
      </c>
      <c r="M130" s="231">
        <f t="shared" si="13"/>
        <v>3628167.2375544263</v>
      </c>
    </row>
    <row r="131" spans="9:13" ht="16.5" hidden="1" customHeight="1">
      <c r="I131" s="114">
        <v>129</v>
      </c>
      <c r="J131" s="230">
        <f t="shared" si="10"/>
        <v>52462.800714870151</v>
      </c>
      <c r="K131" s="114">
        <f t="shared" si="11"/>
        <v>34014.067852072745</v>
      </c>
      <c r="L131" s="230">
        <f t="shared" si="12"/>
        <v>18448.732862797406</v>
      </c>
      <c r="M131" s="231">
        <f t="shared" si="13"/>
        <v>3609718.5046916287</v>
      </c>
    </row>
    <row r="132" spans="9:13" ht="16.5" hidden="1" customHeight="1">
      <c r="I132" s="114">
        <v>130</v>
      </c>
      <c r="J132" s="230">
        <f t="shared" ref="J132:J195" si="14">$C$7</f>
        <v>52462.800714870151</v>
      </c>
      <c r="K132" s="114">
        <f t="shared" ref="K132:K195" si="15">M131*($C$5/12)</f>
        <v>33841.110981484017</v>
      </c>
      <c r="L132" s="230">
        <f t="shared" ref="L132:L195" si="16">J132-K132</f>
        <v>18621.689733386134</v>
      </c>
      <c r="M132" s="231">
        <f t="shared" ref="M132:M195" si="17">M131-L132</f>
        <v>3591096.8149582427</v>
      </c>
    </row>
    <row r="133" spans="9:13" ht="16.5" hidden="1" customHeight="1">
      <c r="I133" s="114">
        <v>131</v>
      </c>
      <c r="J133" s="230">
        <f t="shared" si="14"/>
        <v>52462.800714870151</v>
      </c>
      <c r="K133" s="114">
        <f t="shared" si="15"/>
        <v>33666.532640233527</v>
      </c>
      <c r="L133" s="230">
        <f t="shared" si="16"/>
        <v>18796.268074636624</v>
      </c>
      <c r="M133" s="231">
        <f t="shared" si="17"/>
        <v>3572300.5468836059</v>
      </c>
    </row>
    <row r="134" spans="9:13" ht="16.5" hidden="1" customHeight="1">
      <c r="I134" s="114">
        <v>132</v>
      </c>
      <c r="J134" s="230">
        <f t="shared" si="14"/>
        <v>52462.800714870151</v>
      </c>
      <c r="K134" s="114">
        <f t="shared" si="15"/>
        <v>33490.317627033801</v>
      </c>
      <c r="L134" s="230">
        <f t="shared" si="16"/>
        <v>18972.48308783635</v>
      </c>
      <c r="M134" s="231">
        <f t="shared" si="17"/>
        <v>3553328.0637957696</v>
      </c>
    </row>
    <row r="135" spans="9:13" ht="16.5" hidden="1" customHeight="1">
      <c r="I135" s="114">
        <v>133</v>
      </c>
      <c r="J135" s="230">
        <f t="shared" si="14"/>
        <v>52462.800714870151</v>
      </c>
      <c r="K135" s="114">
        <f t="shared" si="15"/>
        <v>33312.450598085336</v>
      </c>
      <c r="L135" s="230">
        <f t="shared" si="16"/>
        <v>19150.350116784815</v>
      </c>
      <c r="M135" s="231">
        <f t="shared" si="17"/>
        <v>3534177.7136789849</v>
      </c>
    </row>
    <row r="136" spans="9:13" ht="16.5" hidden="1" customHeight="1">
      <c r="I136" s="114">
        <v>134</v>
      </c>
      <c r="J136" s="230">
        <f t="shared" si="14"/>
        <v>52462.800714870151</v>
      </c>
      <c r="K136" s="114">
        <f t="shared" si="15"/>
        <v>33132.916065740479</v>
      </c>
      <c r="L136" s="230">
        <f t="shared" si="16"/>
        <v>19329.884649129672</v>
      </c>
      <c r="M136" s="231">
        <f t="shared" si="17"/>
        <v>3514847.8290298553</v>
      </c>
    </row>
    <row r="137" spans="9:13" ht="16.5" hidden="1" customHeight="1">
      <c r="I137" s="114">
        <v>135</v>
      </c>
      <c r="J137" s="230">
        <f t="shared" si="14"/>
        <v>52462.800714870151</v>
      </c>
      <c r="K137" s="114">
        <f t="shared" si="15"/>
        <v>32951.698397154891</v>
      </c>
      <c r="L137" s="230">
        <f t="shared" si="16"/>
        <v>19511.10231771526</v>
      </c>
      <c r="M137" s="231">
        <f t="shared" si="17"/>
        <v>3495336.7267121403</v>
      </c>
    </row>
    <row r="138" spans="9:13" ht="16.5" hidden="1" customHeight="1">
      <c r="I138" s="114">
        <v>136</v>
      </c>
      <c r="J138" s="230">
        <f t="shared" si="14"/>
        <v>52462.800714870151</v>
      </c>
      <c r="K138" s="114">
        <f t="shared" si="15"/>
        <v>32768.781812926311</v>
      </c>
      <c r="L138" s="230">
        <f t="shared" si="16"/>
        <v>19694.01890194384</v>
      </c>
      <c r="M138" s="231">
        <f t="shared" si="17"/>
        <v>3475642.7078101966</v>
      </c>
    </row>
    <row r="139" spans="9:13" ht="16.5" hidden="1" customHeight="1">
      <c r="I139" s="114">
        <v>137</v>
      </c>
      <c r="J139" s="230">
        <f t="shared" si="14"/>
        <v>52462.800714870151</v>
      </c>
      <c r="K139" s="114">
        <f t="shared" si="15"/>
        <v>32584.15038572059</v>
      </c>
      <c r="L139" s="230">
        <f t="shared" si="16"/>
        <v>19878.650329149561</v>
      </c>
      <c r="M139" s="231">
        <f t="shared" si="17"/>
        <v>3455764.0574810468</v>
      </c>
    </row>
    <row r="140" spans="9:13" ht="16.5" hidden="1" customHeight="1">
      <c r="I140" s="114">
        <v>138</v>
      </c>
      <c r="J140" s="230">
        <f t="shared" si="14"/>
        <v>52462.800714870151</v>
      </c>
      <c r="K140" s="114">
        <f t="shared" si="15"/>
        <v>32397.788038884813</v>
      </c>
      <c r="L140" s="230">
        <f t="shared" si="16"/>
        <v>20065.012675985337</v>
      </c>
      <c r="M140" s="231">
        <f t="shared" si="17"/>
        <v>3435699.0448050615</v>
      </c>
    </row>
    <row r="141" spans="9:13" ht="16.5" hidden="1" customHeight="1">
      <c r="I141" s="114">
        <v>139</v>
      </c>
      <c r="J141" s="230">
        <f t="shared" si="14"/>
        <v>52462.800714870151</v>
      </c>
      <c r="K141" s="114">
        <f t="shared" si="15"/>
        <v>32209.678545047449</v>
      </c>
      <c r="L141" s="230">
        <f t="shared" si="16"/>
        <v>20253.122169822702</v>
      </c>
      <c r="M141" s="231">
        <f t="shared" si="17"/>
        <v>3415445.9226352386</v>
      </c>
    </row>
    <row r="142" spans="9:13" ht="16.5" hidden="1" customHeight="1">
      <c r="I142" s="114">
        <v>140</v>
      </c>
      <c r="J142" s="230">
        <f t="shared" si="14"/>
        <v>52462.800714870151</v>
      </c>
      <c r="K142" s="114">
        <f t="shared" si="15"/>
        <v>32019.80552470536</v>
      </c>
      <c r="L142" s="230">
        <f t="shared" si="16"/>
        <v>20442.995190164791</v>
      </c>
      <c r="M142" s="231">
        <f t="shared" si="17"/>
        <v>3395002.9274450736</v>
      </c>
    </row>
    <row r="143" spans="9:13" ht="16.5" hidden="1" customHeight="1">
      <c r="I143" s="114">
        <v>141</v>
      </c>
      <c r="J143" s="230">
        <f t="shared" si="14"/>
        <v>52462.800714870151</v>
      </c>
      <c r="K143" s="114">
        <f t="shared" si="15"/>
        <v>31828.152444797564</v>
      </c>
      <c r="L143" s="230">
        <f t="shared" si="16"/>
        <v>20634.648270072586</v>
      </c>
      <c r="M143" s="231">
        <f t="shared" si="17"/>
        <v>3374368.2791750012</v>
      </c>
    </row>
    <row r="144" spans="9:13" ht="16.5" hidden="1" customHeight="1">
      <c r="I144" s="114">
        <v>142</v>
      </c>
      <c r="J144" s="230">
        <f t="shared" si="14"/>
        <v>52462.800714870151</v>
      </c>
      <c r="K144" s="114">
        <f t="shared" si="15"/>
        <v>31634.702617265633</v>
      </c>
      <c r="L144" s="230">
        <f t="shared" si="16"/>
        <v>20828.098097604518</v>
      </c>
      <c r="M144" s="231">
        <f t="shared" si="17"/>
        <v>3353540.1810773965</v>
      </c>
    </row>
    <row r="145" spans="9:13" ht="16.5" hidden="1" customHeight="1">
      <c r="I145" s="114">
        <v>143</v>
      </c>
      <c r="J145" s="230">
        <f t="shared" si="14"/>
        <v>52462.800714870151</v>
      </c>
      <c r="K145" s="114">
        <f t="shared" si="15"/>
        <v>31439.43919760059</v>
      </c>
      <c r="L145" s="230">
        <f t="shared" si="16"/>
        <v>21023.361517269561</v>
      </c>
      <c r="M145" s="231">
        <f t="shared" si="17"/>
        <v>3332516.8195601269</v>
      </c>
    </row>
    <row r="146" spans="9:13" ht="16.5" hidden="1" customHeight="1">
      <c r="I146" s="114">
        <v>144</v>
      </c>
      <c r="J146" s="230">
        <f t="shared" si="14"/>
        <v>52462.800714870151</v>
      </c>
      <c r="K146" s="114">
        <f t="shared" si="15"/>
        <v>31242.345183376186</v>
      </c>
      <c r="L146" s="230">
        <f t="shared" si="16"/>
        <v>21220.455531493964</v>
      </c>
      <c r="M146" s="231">
        <f t="shared" si="17"/>
        <v>3311296.3640286331</v>
      </c>
    </row>
    <row r="147" spans="9:13" ht="16.5" hidden="1" customHeight="1">
      <c r="I147" s="114">
        <v>145</v>
      </c>
      <c r="J147" s="230">
        <f t="shared" si="14"/>
        <v>52462.800714870151</v>
      </c>
      <c r="K147" s="114">
        <f t="shared" si="15"/>
        <v>31043.403412768435</v>
      </c>
      <c r="L147" s="230">
        <f t="shared" si="16"/>
        <v>21419.397302101715</v>
      </c>
      <c r="M147" s="231">
        <f t="shared" si="17"/>
        <v>3289876.9667265313</v>
      </c>
    </row>
    <row r="148" spans="9:13" ht="16.5" hidden="1" customHeight="1">
      <c r="I148" s="114">
        <v>146</v>
      </c>
      <c r="J148" s="230">
        <f t="shared" si="14"/>
        <v>52462.800714870151</v>
      </c>
      <c r="K148" s="114">
        <f t="shared" si="15"/>
        <v>30842.59656306123</v>
      </c>
      <c r="L148" s="230">
        <f t="shared" si="16"/>
        <v>21620.204151808921</v>
      </c>
      <c r="M148" s="231">
        <f t="shared" si="17"/>
        <v>3268256.7625747225</v>
      </c>
    </row>
    <row r="149" spans="9:13" ht="16.5" hidden="1" customHeight="1">
      <c r="I149" s="114">
        <v>147</v>
      </c>
      <c r="J149" s="230">
        <f t="shared" si="14"/>
        <v>52462.800714870151</v>
      </c>
      <c r="K149" s="114">
        <f t="shared" si="15"/>
        <v>30639.907149138024</v>
      </c>
      <c r="L149" s="230">
        <f t="shared" si="16"/>
        <v>21822.893565732127</v>
      </c>
      <c r="M149" s="231">
        <f t="shared" si="17"/>
        <v>3246433.8690089905</v>
      </c>
    </row>
    <row r="150" spans="9:13" ht="16.5" hidden="1" customHeight="1">
      <c r="I150" s="114">
        <v>148</v>
      </c>
      <c r="J150" s="230">
        <f t="shared" si="14"/>
        <v>52462.800714870151</v>
      </c>
      <c r="K150" s="114">
        <f t="shared" si="15"/>
        <v>30435.317521959285</v>
      </c>
      <c r="L150" s="230">
        <f t="shared" si="16"/>
        <v>22027.483192910866</v>
      </c>
      <c r="M150" s="231">
        <f t="shared" si="17"/>
        <v>3224406.3858160796</v>
      </c>
    </row>
    <row r="151" spans="9:13" ht="16.5" hidden="1" customHeight="1">
      <c r="I151" s="114">
        <v>149</v>
      </c>
      <c r="J151" s="230">
        <f t="shared" si="14"/>
        <v>52462.800714870151</v>
      </c>
      <c r="K151" s="114">
        <f t="shared" si="15"/>
        <v>30228.809867025746</v>
      </c>
      <c r="L151" s="230">
        <f t="shared" si="16"/>
        <v>22233.990847844405</v>
      </c>
      <c r="M151" s="231">
        <f t="shared" si="17"/>
        <v>3202172.3949682349</v>
      </c>
    </row>
    <row r="152" spans="9:13" ht="16.5" hidden="1" customHeight="1">
      <c r="I152" s="114">
        <v>150</v>
      </c>
      <c r="J152" s="230">
        <f t="shared" si="14"/>
        <v>52462.800714870151</v>
      </c>
      <c r="K152" s="114">
        <f t="shared" si="15"/>
        <v>30020.366202827201</v>
      </c>
      <c r="L152" s="230">
        <f t="shared" si="16"/>
        <v>22442.43451204295</v>
      </c>
      <c r="M152" s="231">
        <f t="shared" si="17"/>
        <v>3179729.960456192</v>
      </c>
    </row>
    <row r="153" spans="9:13" ht="16.5" hidden="1" customHeight="1">
      <c r="I153" s="114">
        <v>151</v>
      </c>
      <c r="J153" s="230">
        <f t="shared" si="14"/>
        <v>52462.800714870151</v>
      </c>
      <c r="K153" s="114">
        <f t="shared" si="15"/>
        <v>29809.968379276797</v>
      </c>
      <c r="L153" s="230">
        <f t="shared" si="16"/>
        <v>22652.832335593353</v>
      </c>
      <c r="M153" s="231">
        <f t="shared" si="17"/>
        <v>3157077.1281205988</v>
      </c>
    </row>
    <row r="154" spans="9:13" ht="16.5" hidden="1" customHeight="1">
      <c r="I154" s="114">
        <v>152</v>
      </c>
      <c r="J154" s="230">
        <f t="shared" si="14"/>
        <v>52462.800714870151</v>
      </c>
      <c r="K154" s="114">
        <f t="shared" si="15"/>
        <v>29597.598076130613</v>
      </c>
      <c r="L154" s="230">
        <f t="shared" si="16"/>
        <v>22865.202638739538</v>
      </c>
      <c r="M154" s="231">
        <f t="shared" si="17"/>
        <v>3134211.9254818591</v>
      </c>
    </row>
    <row r="155" spans="9:13" ht="16.5" hidden="1" customHeight="1">
      <c r="I155" s="114">
        <v>153</v>
      </c>
      <c r="J155" s="230">
        <f t="shared" si="14"/>
        <v>52462.800714870151</v>
      </c>
      <c r="K155" s="114">
        <f t="shared" si="15"/>
        <v>29383.236801392428</v>
      </c>
      <c r="L155" s="230">
        <f t="shared" si="16"/>
        <v>23079.563913477723</v>
      </c>
      <c r="M155" s="231">
        <f t="shared" si="17"/>
        <v>3111132.3615683815</v>
      </c>
    </row>
    <row r="156" spans="9:13" ht="16.5" hidden="1" customHeight="1">
      <c r="I156" s="114">
        <v>154</v>
      </c>
      <c r="J156" s="230">
        <f t="shared" si="14"/>
        <v>52462.800714870151</v>
      </c>
      <c r="K156" s="114">
        <f t="shared" si="15"/>
        <v>29166.865889703575</v>
      </c>
      <c r="L156" s="230">
        <f t="shared" si="16"/>
        <v>23295.934825166576</v>
      </c>
      <c r="M156" s="231">
        <f t="shared" si="17"/>
        <v>3087836.4267432149</v>
      </c>
    </row>
    <row r="157" spans="9:13" ht="16.5" hidden="1" customHeight="1">
      <c r="I157" s="114">
        <v>155</v>
      </c>
      <c r="J157" s="230">
        <f t="shared" si="14"/>
        <v>52462.800714870151</v>
      </c>
      <c r="K157" s="114">
        <f t="shared" si="15"/>
        <v>28948.466500717641</v>
      </c>
      <c r="L157" s="230">
        <f t="shared" si="16"/>
        <v>23514.33421415251</v>
      </c>
      <c r="M157" s="231">
        <f t="shared" si="17"/>
        <v>3064322.0925290626</v>
      </c>
    </row>
    <row r="158" spans="9:13" ht="16.5" hidden="1" customHeight="1">
      <c r="I158" s="114">
        <v>156</v>
      </c>
      <c r="J158" s="230">
        <f t="shared" si="14"/>
        <v>52462.800714870151</v>
      </c>
      <c r="K158" s="114">
        <f t="shared" si="15"/>
        <v>28728.019617459962</v>
      </c>
      <c r="L158" s="230">
        <f t="shared" si="16"/>
        <v>23734.781097410189</v>
      </c>
      <c r="M158" s="231">
        <f t="shared" si="17"/>
        <v>3040587.3114316524</v>
      </c>
    </row>
    <row r="159" spans="9:13" ht="16.5" hidden="1" customHeight="1">
      <c r="I159" s="114">
        <v>157</v>
      </c>
      <c r="J159" s="230">
        <f t="shared" si="14"/>
        <v>52462.800714870151</v>
      </c>
      <c r="K159" s="114">
        <f t="shared" si="15"/>
        <v>28505.50604467174</v>
      </c>
      <c r="L159" s="230">
        <f t="shared" si="16"/>
        <v>23957.294670198411</v>
      </c>
      <c r="M159" s="231">
        <f t="shared" si="17"/>
        <v>3016630.0167614538</v>
      </c>
    </row>
    <row r="160" spans="9:13" ht="16.5" hidden="1" customHeight="1">
      <c r="I160" s="114">
        <v>158</v>
      </c>
      <c r="J160" s="230">
        <f t="shared" si="14"/>
        <v>52462.800714870151</v>
      </c>
      <c r="K160" s="114">
        <f t="shared" si="15"/>
        <v>28280.906407138627</v>
      </c>
      <c r="L160" s="230">
        <f t="shared" si="16"/>
        <v>24181.894307731523</v>
      </c>
      <c r="M160" s="231">
        <f t="shared" si="17"/>
        <v>2992448.1224537222</v>
      </c>
    </row>
    <row r="161" spans="9:13" ht="16.5" hidden="1" customHeight="1">
      <c r="I161" s="114">
        <v>159</v>
      </c>
      <c r="J161" s="230">
        <f t="shared" si="14"/>
        <v>52462.800714870151</v>
      </c>
      <c r="K161" s="114">
        <f t="shared" si="15"/>
        <v>28054.201148003645</v>
      </c>
      <c r="L161" s="230">
        <f t="shared" si="16"/>
        <v>24408.599566866505</v>
      </c>
      <c r="M161" s="231">
        <f t="shared" si="17"/>
        <v>2968039.5228868555</v>
      </c>
    </row>
    <row r="162" spans="9:13" ht="16.5" hidden="1" customHeight="1">
      <c r="I162" s="114">
        <v>160</v>
      </c>
      <c r="J162" s="230">
        <f t="shared" si="14"/>
        <v>52462.800714870151</v>
      </c>
      <c r="K162" s="114">
        <f t="shared" si="15"/>
        <v>27825.370527064271</v>
      </c>
      <c r="L162" s="230">
        <f t="shared" si="16"/>
        <v>24637.43018780588</v>
      </c>
      <c r="M162" s="231">
        <f t="shared" si="17"/>
        <v>2943402.0926990495</v>
      </c>
    </row>
    <row r="163" spans="9:13" ht="16.5" hidden="1" customHeight="1">
      <c r="I163" s="114">
        <v>161</v>
      </c>
      <c r="J163" s="230">
        <f t="shared" si="14"/>
        <v>52462.800714870151</v>
      </c>
      <c r="K163" s="114">
        <f t="shared" si="15"/>
        <v>27594.39461905359</v>
      </c>
      <c r="L163" s="230">
        <f t="shared" si="16"/>
        <v>24868.406095816561</v>
      </c>
      <c r="M163" s="231">
        <f t="shared" si="17"/>
        <v>2918533.6866032328</v>
      </c>
    </row>
    <row r="164" spans="9:13" ht="16.5" hidden="1" customHeight="1">
      <c r="I164" s="114">
        <v>162</v>
      </c>
      <c r="J164" s="230">
        <f t="shared" si="14"/>
        <v>52462.800714870151</v>
      </c>
      <c r="K164" s="114">
        <f t="shared" si="15"/>
        <v>27361.253311905308</v>
      </c>
      <c r="L164" s="230">
        <f t="shared" si="16"/>
        <v>25101.547402964843</v>
      </c>
      <c r="M164" s="231">
        <f t="shared" si="17"/>
        <v>2893432.1392002678</v>
      </c>
    </row>
    <row r="165" spans="9:13" ht="16.5" hidden="1" customHeight="1">
      <c r="I165" s="114">
        <v>163</v>
      </c>
      <c r="J165" s="230">
        <f t="shared" si="14"/>
        <v>52462.800714870151</v>
      </c>
      <c r="K165" s="114">
        <f t="shared" si="15"/>
        <v>27125.926305002511</v>
      </c>
      <c r="L165" s="230">
        <f t="shared" si="16"/>
        <v>25336.87440986764</v>
      </c>
      <c r="M165" s="231">
        <f t="shared" si="17"/>
        <v>2868095.2647904004</v>
      </c>
    </row>
    <row r="166" spans="9:13" ht="16.5" hidden="1" customHeight="1">
      <c r="I166" s="114">
        <v>164</v>
      </c>
      <c r="J166" s="230">
        <f t="shared" si="14"/>
        <v>52462.800714870151</v>
      </c>
      <c r="K166" s="114">
        <f t="shared" si="15"/>
        <v>26888.393107410004</v>
      </c>
      <c r="L166" s="230">
        <f t="shared" si="16"/>
        <v>25574.407607460147</v>
      </c>
      <c r="M166" s="231">
        <f t="shared" si="17"/>
        <v>2842520.8571829405</v>
      </c>
    </row>
    <row r="167" spans="9:13" ht="16.5" hidden="1" customHeight="1">
      <c r="I167" s="114">
        <v>165</v>
      </c>
      <c r="J167" s="230">
        <f t="shared" si="14"/>
        <v>52462.800714870151</v>
      </c>
      <c r="K167" s="114">
        <f t="shared" si="15"/>
        <v>26648.633036090065</v>
      </c>
      <c r="L167" s="230">
        <f t="shared" si="16"/>
        <v>25814.167678780086</v>
      </c>
      <c r="M167" s="231">
        <f t="shared" si="17"/>
        <v>2816706.6895041605</v>
      </c>
    </row>
    <row r="168" spans="9:13" ht="16.5" hidden="1" customHeight="1">
      <c r="I168" s="114">
        <v>166</v>
      </c>
      <c r="J168" s="230">
        <f t="shared" si="14"/>
        <v>52462.800714870151</v>
      </c>
      <c r="K168" s="114">
        <f t="shared" si="15"/>
        <v>26406.625214101503</v>
      </c>
      <c r="L168" s="230">
        <f t="shared" si="16"/>
        <v>26056.175500768648</v>
      </c>
      <c r="M168" s="231">
        <f t="shared" si="17"/>
        <v>2790650.5140033918</v>
      </c>
    </row>
    <row r="169" spans="9:13" ht="16.5" hidden="1" customHeight="1">
      <c r="I169" s="114">
        <v>167</v>
      </c>
      <c r="J169" s="230">
        <f t="shared" si="14"/>
        <v>52462.800714870151</v>
      </c>
      <c r="K169" s="114">
        <f t="shared" si="15"/>
        <v>26162.348568781799</v>
      </c>
      <c r="L169" s="230">
        <f t="shared" si="16"/>
        <v>26300.452146088352</v>
      </c>
      <c r="M169" s="231">
        <f t="shared" si="17"/>
        <v>2764350.0618573036</v>
      </c>
    </row>
    <row r="170" spans="9:13" ht="16.5" hidden="1" customHeight="1">
      <c r="I170" s="114">
        <v>168</v>
      </c>
      <c r="J170" s="230">
        <f t="shared" si="14"/>
        <v>52462.800714870151</v>
      </c>
      <c r="K170" s="114">
        <f t="shared" si="15"/>
        <v>25915.781829912219</v>
      </c>
      <c r="L170" s="230">
        <f t="shared" si="16"/>
        <v>26547.018884957932</v>
      </c>
      <c r="M170" s="231">
        <f t="shared" si="17"/>
        <v>2737803.0429723458</v>
      </c>
    </row>
    <row r="171" spans="9:13" ht="16.5" hidden="1" customHeight="1">
      <c r="I171" s="114">
        <v>169</v>
      </c>
      <c r="J171" s="230">
        <f t="shared" si="14"/>
        <v>52462.800714870151</v>
      </c>
      <c r="K171" s="114">
        <f t="shared" si="15"/>
        <v>25666.903527865743</v>
      </c>
      <c r="L171" s="230">
        <f t="shared" si="16"/>
        <v>26795.897187004408</v>
      </c>
      <c r="M171" s="231">
        <f t="shared" si="17"/>
        <v>2711007.1457853415</v>
      </c>
    </row>
    <row r="172" spans="9:13" ht="16.5" hidden="1" customHeight="1">
      <c r="I172" s="114">
        <v>170</v>
      </c>
      <c r="J172" s="230">
        <f t="shared" si="14"/>
        <v>52462.800714870151</v>
      </c>
      <c r="K172" s="114">
        <f t="shared" si="15"/>
        <v>25415.691991737574</v>
      </c>
      <c r="L172" s="230">
        <f t="shared" si="16"/>
        <v>27047.108723132576</v>
      </c>
      <c r="M172" s="231">
        <f t="shared" si="17"/>
        <v>2683960.0370622091</v>
      </c>
    </row>
    <row r="173" spans="9:13" ht="16.5" hidden="1" customHeight="1">
      <c r="I173" s="114">
        <v>171</v>
      </c>
      <c r="J173" s="230">
        <f t="shared" si="14"/>
        <v>52462.800714870151</v>
      </c>
      <c r="K173" s="114">
        <f t="shared" si="15"/>
        <v>25162.125347458208</v>
      </c>
      <c r="L173" s="230">
        <f t="shared" si="16"/>
        <v>27300.675367411943</v>
      </c>
      <c r="M173" s="231">
        <f t="shared" si="17"/>
        <v>2656659.3616947969</v>
      </c>
    </row>
    <row r="174" spans="9:13" ht="16.5" hidden="1" customHeight="1">
      <c r="I174" s="114">
        <v>172</v>
      </c>
      <c r="J174" s="230">
        <f t="shared" si="14"/>
        <v>52462.800714870151</v>
      </c>
      <c r="K174" s="114">
        <f t="shared" si="15"/>
        <v>24906.181515888722</v>
      </c>
      <c r="L174" s="230">
        <f t="shared" si="16"/>
        <v>27556.619198981429</v>
      </c>
      <c r="M174" s="231">
        <f t="shared" si="17"/>
        <v>2629102.7424958157</v>
      </c>
    </row>
    <row r="175" spans="9:13" ht="16.5" hidden="1" customHeight="1">
      <c r="I175" s="114">
        <v>173</v>
      </c>
      <c r="J175" s="230">
        <f t="shared" si="14"/>
        <v>52462.800714870151</v>
      </c>
      <c r="K175" s="114">
        <f t="shared" si="15"/>
        <v>24647.838210898273</v>
      </c>
      <c r="L175" s="230">
        <f t="shared" si="16"/>
        <v>27814.962503971878</v>
      </c>
      <c r="M175" s="231">
        <f t="shared" si="17"/>
        <v>2601287.7799918437</v>
      </c>
    </row>
    <row r="176" spans="9:13" ht="16.5" hidden="1" customHeight="1">
      <c r="I176" s="114">
        <v>174</v>
      </c>
      <c r="J176" s="230">
        <f t="shared" si="14"/>
        <v>52462.800714870151</v>
      </c>
      <c r="K176" s="114">
        <f t="shared" si="15"/>
        <v>24387.072937423534</v>
      </c>
      <c r="L176" s="230">
        <f t="shared" si="16"/>
        <v>28075.727777446617</v>
      </c>
      <c r="M176" s="231">
        <f t="shared" si="17"/>
        <v>2573212.0522143971</v>
      </c>
    </row>
    <row r="177" spans="9:13" ht="16.5" hidden="1" customHeight="1">
      <c r="I177" s="114">
        <v>175</v>
      </c>
      <c r="J177" s="230">
        <f t="shared" si="14"/>
        <v>52462.800714870151</v>
      </c>
      <c r="K177" s="114">
        <f t="shared" si="15"/>
        <v>24123.862989509973</v>
      </c>
      <c r="L177" s="230">
        <f t="shared" si="16"/>
        <v>28338.937725360178</v>
      </c>
      <c r="M177" s="231">
        <f t="shared" si="17"/>
        <v>2544873.1144890371</v>
      </c>
    </row>
    <row r="178" spans="9:13" ht="16.5" hidden="1" customHeight="1">
      <c r="I178" s="114">
        <v>176</v>
      </c>
      <c r="J178" s="230">
        <f t="shared" si="14"/>
        <v>52462.800714870151</v>
      </c>
      <c r="K178" s="114">
        <f t="shared" si="15"/>
        <v>23858.185448334723</v>
      </c>
      <c r="L178" s="230">
        <f t="shared" si="16"/>
        <v>28604.615266535428</v>
      </c>
      <c r="M178" s="231">
        <f t="shared" si="17"/>
        <v>2516268.4992225016</v>
      </c>
    </row>
    <row r="179" spans="9:13" ht="16.5" hidden="1" customHeight="1">
      <c r="I179" s="114">
        <v>177</v>
      </c>
      <c r="J179" s="230">
        <f t="shared" si="14"/>
        <v>52462.800714870151</v>
      </c>
      <c r="K179" s="114">
        <f t="shared" si="15"/>
        <v>23590.017180210951</v>
      </c>
      <c r="L179" s="230">
        <f t="shared" si="16"/>
        <v>28872.7835346592</v>
      </c>
      <c r="M179" s="231">
        <f t="shared" si="17"/>
        <v>2487395.7156878426</v>
      </c>
    </row>
    <row r="180" spans="9:13" ht="16.5" hidden="1" customHeight="1">
      <c r="I180" s="114">
        <v>178</v>
      </c>
      <c r="J180" s="230">
        <f t="shared" si="14"/>
        <v>52462.800714870151</v>
      </c>
      <c r="K180" s="114">
        <f t="shared" si="15"/>
        <v>23319.334834573525</v>
      </c>
      <c r="L180" s="230">
        <f t="shared" si="16"/>
        <v>29143.465880296626</v>
      </c>
      <c r="M180" s="231">
        <f t="shared" si="17"/>
        <v>2458252.2498075459</v>
      </c>
    </row>
    <row r="181" spans="9:13" ht="16.5" hidden="1" customHeight="1">
      <c r="I181" s="114">
        <v>179</v>
      </c>
      <c r="J181" s="230">
        <f t="shared" si="14"/>
        <v>52462.800714870151</v>
      </c>
      <c r="K181" s="114">
        <f t="shared" si="15"/>
        <v>23046.114841945742</v>
      </c>
      <c r="L181" s="230">
        <f t="shared" si="16"/>
        <v>29416.685872924409</v>
      </c>
      <c r="M181" s="231">
        <f t="shared" si="17"/>
        <v>2428835.5639346214</v>
      </c>
    </row>
    <row r="182" spans="9:13" ht="16.5" hidden="1" customHeight="1">
      <c r="I182" s="114">
        <v>180</v>
      </c>
      <c r="J182" s="230">
        <f t="shared" si="14"/>
        <v>52462.800714870151</v>
      </c>
      <c r="K182" s="114">
        <f t="shared" si="15"/>
        <v>22770.333411887073</v>
      </c>
      <c r="L182" s="230">
        <f t="shared" si="16"/>
        <v>29692.467302983077</v>
      </c>
      <c r="M182" s="231">
        <f t="shared" si="17"/>
        <v>2399143.0966316382</v>
      </c>
    </row>
    <row r="183" spans="9:13" ht="16.5" hidden="1" customHeight="1">
      <c r="I183" s="114">
        <v>181</v>
      </c>
      <c r="J183" s="230">
        <f t="shared" si="14"/>
        <v>52462.800714870151</v>
      </c>
      <c r="K183" s="114">
        <f t="shared" si="15"/>
        <v>22491.966530921607</v>
      </c>
      <c r="L183" s="230">
        <f t="shared" si="16"/>
        <v>29970.834183948544</v>
      </c>
      <c r="M183" s="231">
        <f t="shared" si="17"/>
        <v>2369172.2624476897</v>
      </c>
    </row>
    <row r="184" spans="9:13" ht="16.5" hidden="1" customHeight="1">
      <c r="I184" s="114">
        <v>182</v>
      </c>
      <c r="J184" s="230">
        <f t="shared" si="14"/>
        <v>52462.800714870151</v>
      </c>
      <c r="K184" s="114">
        <f t="shared" si="15"/>
        <v>22210.989960447088</v>
      </c>
      <c r="L184" s="230">
        <f t="shared" si="16"/>
        <v>30251.810754423062</v>
      </c>
      <c r="M184" s="231">
        <f t="shared" si="17"/>
        <v>2338920.4516932666</v>
      </c>
    </row>
    <row r="185" spans="9:13" ht="16.5" hidden="1" customHeight="1">
      <c r="I185" s="114">
        <v>183</v>
      </c>
      <c r="J185" s="230">
        <f t="shared" si="14"/>
        <v>52462.800714870151</v>
      </c>
      <c r="K185" s="114">
        <f t="shared" si="15"/>
        <v>21927.379234624375</v>
      </c>
      <c r="L185" s="230">
        <f t="shared" si="16"/>
        <v>30535.421480245775</v>
      </c>
      <c r="M185" s="231">
        <f t="shared" si="17"/>
        <v>2308385.0302130207</v>
      </c>
    </row>
    <row r="186" spans="9:13" ht="16.5" hidden="1" customHeight="1">
      <c r="I186" s="114">
        <v>184</v>
      </c>
      <c r="J186" s="230">
        <f t="shared" si="14"/>
        <v>52462.800714870151</v>
      </c>
      <c r="K186" s="114">
        <f t="shared" si="15"/>
        <v>21641.109658247067</v>
      </c>
      <c r="L186" s="230">
        <f t="shared" si="16"/>
        <v>30821.691056623084</v>
      </c>
      <c r="M186" s="231">
        <f t="shared" si="17"/>
        <v>2277563.3391563976</v>
      </c>
    </row>
    <row r="187" spans="9:13" ht="16.5" hidden="1" customHeight="1">
      <c r="I187" s="114">
        <v>185</v>
      </c>
      <c r="J187" s="230">
        <f t="shared" si="14"/>
        <v>52462.800714870151</v>
      </c>
      <c r="K187" s="114">
        <f t="shared" si="15"/>
        <v>21352.156304591226</v>
      </c>
      <c r="L187" s="230">
        <f t="shared" si="16"/>
        <v>31110.644410278925</v>
      </c>
      <c r="M187" s="231">
        <f t="shared" si="17"/>
        <v>2246452.6947461185</v>
      </c>
    </row>
    <row r="188" spans="9:13" ht="16.5" hidden="1" customHeight="1">
      <c r="I188" s="114">
        <v>186</v>
      </c>
      <c r="J188" s="230">
        <f t="shared" si="14"/>
        <v>52462.800714870151</v>
      </c>
      <c r="K188" s="114">
        <f t="shared" si="15"/>
        <v>21060.494013244861</v>
      </c>
      <c r="L188" s="230">
        <f t="shared" si="16"/>
        <v>31402.30670162529</v>
      </c>
      <c r="M188" s="231">
        <f t="shared" si="17"/>
        <v>2215050.3880444933</v>
      </c>
    </row>
    <row r="189" spans="9:13" ht="16.5" hidden="1" customHeight="1">
      <c r="I189" s="114">
        <v>187</v>
      </c>
      <c r="J189" s="230">
        <f t="shared" si="14"/>
        <v>52462.800714870151</v>
      </c>
      <c r="K189" s="114">
        <f t="shared" si="15"/>
        <v>20766.097387917125</v>
      </c>
      <c r="L189" s="230">
        <f t="shared" si="16"/>
        <v>31696.703326953026</v>
      </c>
      <c r="M189" s="231">
        <f t="shared" si="17"/>
        <v>2183353.6847175402</v>
      </c>
    </row>
    <row r="190" spans="9:13" ht="16.5" hidden="1" customHeight="1">
      <c r="I190" s="114">
        <v>188</v>
      </c>
      <c r="J190" s="230">
        <f t="shared" si="14"/>
        <v>52462.800714870151</v>
      </c>
      <c r="K190" s="114">
        <f t="shared" si="15"/>
        <v>20468.940794226939</v>
      </c>
      <c r="L190" s="230">
        <f t="shared" si="16"/>
        <v>31993.859920643212</v>
      </c>
      <c r="M190" s="231">
        <f t="shared" si="17"/>
        <v>2151359.8247968969</v>
      </c>
    </row>
    <row r="191" spans="9:13" ht="16.5" hidden="1" customHeight="1">
      <c r="I191" s="114">
        <v>189</v>
      </c>
      <c r="J191" s="230">
        <f t="shared" si="14"/>
        <v>52462.800714870151</v>
      </c>
      <c r="K191" s="114">
        <f t="shared" si="15"/>
        <v>20168.998357470908</v>
      </c>
      <c r="L191" s="230">
        <f t="shared" si="16"/>
        <v>32293.802357399243</v>
      </c>
      <c r="M191" s="231">
        <f t="shared" si="17"/>
        <v>2119066.0224394975</v>
      </c>
    </row>
    <row r="192" spans="9:13" ht="16.5" hidden="1" customHeight="1">
      <c r="I192" s="114">
        <v>190</v>
      </c>
      <c r="J192" s="230">
        <f t="shared" si="14"/>
        <v>52462.800714870151</v>
      </c>
      <c r="K192" s="114">
        <f t="shared" si="15"/>
        <v>19866.243960370288</v>
      </c>
      <c r="L192" s="230">
        <f t="shared" si="16"/>
        <v>32596.556754499863</v>
      </c>
      <c r="M192" s="231">
        <f t="shared" si="17"/>
        <v>2086469.4656849976</v>
      </c>
    </row>
    <row r="193" spans="9:13" ht="16.5" hidden="1" customHeight="1">
      <c r="I193" s="114">
        <v>191</v>
      </c>
      <c r="J193" s="230">
        <f t="shared" si="14"/>
        <v>52462.800714870151</v>
      </c>
      <c r="K193" s="114">
        <f t="shared" si="15"/>
        <v>19560.651240796851</v>
      </c>
      <c r="L193" s="230">
        <f t="shared" si="16"/>
        <v>32902.149474073303</v>
      </c>
      <c r="M193" s="231">
        <f t="shared" si="17"/>
        <v>2053567.3162109244</v>
      </c>
    </row>
    <row r="194" spans="9:13" ht="16.5" hidden="1" customHeight="1">
      <c r="I194" s="114">
        <v>192</v>
      </c>
      <c r="J194" s="230">
        <f t="shared" si="14"/>
        <v>52462.800714870151</v>
      </c>
      <c r="K194" s="114">
        <f t="shared" si="15"/>
        <v>19252.193589477414</v>
      </c>
      <c r="L194" s="230">
        <f t="shared" si="16"/>
        <v>33210.607125392737</v>
      </c>
      <c r="M194" s="231">
        <f t="shared" si="17"/>
        <v>2020356.7090855318</v>
      </c>
    </row>
    <row r="195" spans="9:13" ht="16.5" hidden="1" customHeight="1">
      <c r="I195" s="114">
        <v>193</v>
      </c>
      <c r="J195" s="230">
        <f t="shared" si="14"/>
        <v>52462.800714870151</v>
      </c>
      <c r="K195" s="114">
        <f t="shared" si="15"/>
        <v>18940.84414767686</v>
      </c>
      <c r="L195" s="230">
        <f t="shared" si="16"/>
        <v>33521.956567193294</v>
      </c>
      <c r="M195" s="231">
        <f t="shared" si="17"/>
        <v>1986834.7525183384</v>
      </c>
    </row>
    <row r="196" spans="9:13" ht="16.5" hidden="1" customHeight="1">
      <c r="I196" s="114">
        <v>194</v>
      </c>
      <c r="J196" s="230">
        <f t="shared" ref="J196:J259" si="18">$C$7</f>
        <v>52462.800714870151</v>
      </c>
      <c r="K196" s="114">
        <f t="shared" ref="K196:K259" si="19">M195*($C$5/12)</f>
        <v>18626.575804859422</v>
      </c>
      <c r="L196" s="230">
        <f t="shared" ref="L196:L259" si="20">J196-K196</f>
        <v>33836.224910010729</v>
      </c>
      <c r="M196" s="231">
        <f t="shared" ref="M196:M259" si="21">M195-L196</f>
        <v>1952998.5276083276</v>
      </c>
    </row>
    <row r="197" spans="9:13" ht="16.5" hidden="1" customHeight="1">
      <c r="I197" s="114">
        <v>195</v>
      </c>
      <c r="J197" s="230">
        <f t="shared" si="18"/>
        <v>52462.800714870151</v>
      </c>
      <c r="K197" s="114">
        <f t="shared" si="19"/>
        <v>18309.361196328071</v>
      </c>
      <c r="L197" s="230">
        <f t="shared" si="20"/>
        <v>34153.43951854208</v>
      </c>
      <c r="M197" s="231">
        <f t="shared" si="21"/>
        <v>1918845.0880897855</v>
      </c>
    </row>
    <row r="198" spans="9:13" ht="16.5" hidden="1" customHeight="1">
      <c r="I198" s="114">
        <v>196</v>
      </c>
      <c r="J198" s="230">
        <f t="shared" si="18"/>
        <v>52462.800714870151</v>
      </c>
      <c r="K198" s="114">
        <f t="shared" si="19"/>
        <v>17989.17270084174</v>
      </c>
      <c r="L198" s="230">
        <f t="shared" si="20"/>
        <v>34473.628014028407</v>
      </c>
      <c r="M198" s="231">
        <f t="shared" si="21"/>
        <v>1884371.4600757572</v>
      </c>
    </row>
    <row r="199" spans="9:13" ht="16.5" hidden="1" customHeight="1">
      <c r="I199" s="114">
        <v>197</v>
      </c>
      <c r="J199" s="230">
        <f t="shared" si="18"/>
        <v>52462.800714870151</v>
      </c>
      <c r="K199" s="114">
        <f t="shared" si="19"/>
        <v>17665.982438210223</v>
      </c>
      <c r="L199" s="230">
        <f t="shared" si="20"/>
        <v>34796.818276659928</v>
      </c>
      <c r="M199" s="231">
        <f t="shared" si="21"/>
        <v>1849574.6417990974</v>
      </c>
    </row>
    <row r="200" spans="9:13" ht="16.5" hidden="1" customHeight="1">
      <c r="I200" s="114">
        <v>198</v>
      </c>
      <c r="J200" s="230">
        <f t="shared" si="18"/>
        <v>52462.800714870151</v>
      </c>
      <c r="K200" s="114">
        <f t="shared" si="19"/>
        <v>17339.762266866539</v>
      </c>
      <c r="L200" s="230">
        <f t="shared" si="20"/>
        <v>35123.038448003615</v>
      </c>
      <c r="M200" s="231">
        <f t="shared" si="21"/>
        <v>1814451.6033510938</v>
      </c>
    </row>
    <row r="201" spans="9:13" ht="16.5" hidden="1" customHeight="1">
      <c r="I201" s="114">
        <v>199</v>
      </c>
      <c r="J201" s="230">
        <f t="shared" si="18"/>
        <v>52462.800714870151</v>
      </c>
      <c r="K201" s="114">
        <f t="shared" si="19"/>
        <v>17010.483781416504</v>
      </c>
      <c r="L201" s="230">
        <f t="shared" si="20"/>
        <v>35452.316933453651</v>
      </c>
      <c r="M201" s="231">
        <f t="shared" si="21"/>
        <v>1778999.2864176403</v>
      </c>
    </row>
    <row r="202" spans="9:13" ht="16.5" hidden="1" customHeight="1">
      <c r="I202" s="114">
        <v>200</v>
      </c>
      <c r="J202" s="230">
        <f t="shared" si="18"/>
        <v>52462.800714870151</v>
      </c>
      <c r="K202" s="114">
        <f t="shared" si="19"/>
        <v>16678.118310165377</v>
      </c>
      <c r="L202" s="230">
        <f t="shared" si="20"/>
        <v>35784.68240470477</v>
      </c>
      <c r="M202" s="231">
        <f t="shared" si="21"/>
        <v>1743214.6040129354</v>
      </c>
    </row>
    <row r="203" spans="9:13" ht="16.5" hidden="1" customHeight="1">
      <c r="I203" s="114">
        <v>201</v>
      </c>
      <c r="J203" s="230">
        <f t="shared" si="18"/>
        <v>52462.800714870151</v>
      </c>
      <c r="K203" s="114">
        <f t="shared" si="19"/>
        <v>16342.636912621268</v>
      </c>
      <c r="L203" s="230">
        <f t="shared" si="20"/>
        <v>36120.163802248884</v>
      </c>
      <c r="M203" s="231">
        <f t="shared" si="21"/>
        <v>1707094.4402106865</v>
      </c>
    </row>
    <row r="204" spans="9:13" ht="16.5" hidden="1" customHeight="1">
      <c r="I204" s="114">
        <v>202</v>
      </c>
      <c r="J204" s="230">
        <f t="shared" si="18"/>
        <v>52462.800714870151</v>
      </c>
      <c r="K204" s="114">
        <f t="shared" si="19"/>
        <v>16004.010376975186</v>
      </c>
      <c r="L204" s="230">
        <f t="shared" si="20"/>
        <v>36458.790337894963</v>
      </c>
      <c r="M204" s="231">
        <f t="shared" si="21"/>
        <v>1670635.6498727915</v>
      </c>
    </row>
    <row r="205" spans="9:13" ht="16.5" hidden="1" customHeight="1">
      <c r="I205" s="114">
        <v>203</v>
      </c>
      <c r="J205" s="230">
        <f t="shared" si="18"/>
        <v>52462.800714870151</v>
      </c>
      <c r="K205" s="114">
        <f t="shared" si="19"/>
        <v>15662.20921755742</v>
      </c>
      <c r="L205" s="230">
        <f t="shared" si="20"/>
        <v>36800.591497312729</v>
      </c>
      <c r="M205" s="231">
        <f t="shared" si="21"/>
        <v>1633835.0583754787</v>
      </c>
    </row>
    <row r="206" spans="9:13" ht="16.5" hidden="1" customHeight="1">
      <c r="I206" s="114">
        <v>204</v>
      </c>
      <c r="J206" s="230">
        <f t="shared" si="18"/>
        <v>52462.800714870151</v>
      </c>
      <c r="K206" s="114">
        <f t="shared" si="19"/>
        <v>15317.203672270112</v>
      </c>
      <c r="L206" s="230">
        <f t="shared" si="20"/>
        <v>37145.597042600042</v>
      </c>
      <c r="M206" s="231">
        <f t="shared" si="21"/>
        <v>1596689.4613328786</v>
      </c>
    </row>
    <row r="207" spans="9:13" ht="16.5" hidden="1" customHeight="1">
      <c r="I207" s="114">
        <v>205</v>
      </c>
      <c r="J207" s="230">
        <f t="shared" si="18"/>
        <v>52462.800714870151</v>
      </c>
      <c r="K207" s="114">
        <f t="shared" si="19"/>
        <v>14968.963699995737</v>
      </c>
      <c r="L207" s="230">
        <f t="shared" si="20"/>
        <v>37493.837014874414</v>
      </c>
      <c r="M207" s="231">
        <f t="shared" si="21"/>
        <v>1559195.6243180041</v>
      </c>
    </row>
    <row r="208" spans="9:13" ht="16.5" hidden="1" customHeight="1">
      <c r="I208" s="114">
        <v>206</v>
      </c>
      <c r="J208" s="230">
        <f t="shared" si="18"/>
        <v>52462.800714870151</v>
      </c>
      <c r="K208" s="114">
        <f t="shared" si="19"/>
        <v>14617.458977981289</v>
      </c>
      <c r="L208" s="230">
        <f t="shared" si="20"/>
        <v>37845.341736888862</v>
      </c>
      <c r="M208" s="231">
        <f t="shared" si="21"/>
        <v>1521350.2825811151</v>
      </c>
    </row>
    <row r="209" spans="9:13" ht="16.5" hidden="1" customHeight="1">
      <c r="I209" s="114">
        <v>207</v>
      </c>
      <c r="J209" s="230">
        <f t="shared" si="18"/>
        <v>52462.800714870151</v>
      </c>
      <c r="K209" s="114">
        <f t="shared" si="19"/>
        <v>14262.658899197953</v>
      </c>
      <c r="L209" s="230">
        <f t="shared" si="20"/>
        <v>38200.141815672199</v>
      </c>
      <c r="M209" s="231">
        <f t="shared" si="21"/>
        <v>1483150.140765443</v>
      </c>
    </row>
    <row r="210" spans="9:13" ht="16.5" hidden="1" customHeight="1">
      <c r="I210" s="114">
        <v>208</v>
      </c>
      <c r="J210" s="230">
        <f t="shared" si="18"/>
        <v>52462.800714870151</v>
      </c>
      <c r="K210" s="114">
        <f t="shared" si="19"/>
        <v>13904.532569676028</v>
      </c>
      <c r="L210" s="230">
        <f t="shared" si="20"/>
        <v>38558.268145194124</v>
      </c>
      <c r="M210" s="231">
        <f t="shared" si="21"/>
        <v>1444591.8726202489</v>
      </c>
    </row>
    <row r="211" spans="9:13" ht="16.5" hidden="1" customHeight="1">
      <c r="I211" s="114">
        <v>209</v>
      </c>
      <c r="J211" s="230">
        <f t="shared" si="18"/>
        <v>52462.800714870151</v>
      </c>
      <c r="K211" s="114">
        <f t="shared" si="19"/>
        <v>13543.048805814833</v>
      </c>
      <c r="L211" s="230">
        <f t="shared" si="20"/>
        <v>38919.751909055318</v>
      </c>
      <c r="M211" s="231">
        <f t="shared" si="21"/>
        <v>1405672.1207111937</v>
      </c>
    </row>
    <row r="212" spans="9:13" ht="16.5" hidden="1" customHeight="1">
      <c r="I212" s="114">
        <v>210</v>
      </c>
      <c r="J212" s="230">
        <f t="shared" si="18"/>
        <v>52462.800714870151</v>
      </c>
      <c r="K212" s="114">
        <f t="shared" si="19"/>
        <v>13178.17613166744</v>
      </c>
      <c r="L212" s="230">
        <f t="shared" si="20"/>
        <v>39284.624583202713</v>
      </c>
      <c r="M212" s="231">
        <f t="shared" si="21"/>
        <v>1366387.496127991</v>
      </c>
    </row>
    <row r="213" spans="9:13" ht="16.5" hidden="1" customHeight="1">
      <c r="I213" s="114">
        <v>211</v>
      </c>
      <c r="J213" s="230">
        <f t="shared" si="18"/>
        <v>52462.800714870151</v>
      </c>
      <c r="K213" s="114">
        <f t="shared" si="19"/>
        <v>12809.882776199915</v>
      </c>
      <c r="L213" s="230">
        <f t="shared" si="20"/>
        <v>39652.917938670238</v>
      </c>
      <c r="M213" s="231">
        <f t="shared" si="21"/>
        <v>1326734.5781893209</v>
      </c>
    </row>
    <row r="214" spans="9:13" ht="16.5" hidden="1" customHeight="1">
      <c r="I214" s="114">
        <v>212</v>
      </c>
      <c r="J214" s="230">
        <f t="shared" si="18"/>
        <v>52462.800714870151</v>
      </c>
      <c r="K214" s="114">
        <f t="shared" si="19"/>
        <v>12438.136670524882</v>
      </c>
      <c r="L214" s="230">
        <f t="shared" si="20"/>
        <v>40024.664044345271</v>
      </c>
      <c r="M214" s="231">
        <f t="shared" si="21"/>
        <v>1286709.9141449756</v>
      </c>
    </row>
    <row r="215" spans="9:13" ht="16.5" hidden="1" customHeight="1">
      <c r="I215" s="114">
        <v>213</v>
      </c>
      <c r="J215" s="230">
        <f t="shared" si="18"/>
        <v>52462.800714870151</v>
      </c>
      <c r="K215" s="114">
        <f t="shared" si="19"/>
        <v>12062.905445109145</v>
      </c>
      <c r="L215" s="230">
        <f t="shared" si="20"/>
        <v>40399.895269761008</v>
      </c>
      <c r="M215" s="231">
        <f t="shared" si="21"/>
        <v>1246310.0188752145</v>
      </c>
    </row>
    <row r="216" spans="9:13" ht="16.5" hidden="1" customHeight="1">
      <c r="I216" s="114">
        <v>214</v>
      </c>
      <c r="J216" s="230">
        <f t="shared" si="18"/>
        <v>52462.800714870151</v>
      </c>
      <c r="K216" s="114">
        <f t="shared" si="19"/>
        <v>11684.156426955136</v>
      </c>
      <c r="L216" s="230">
        <f t="shared" si="20"/>
        <v>40778.644287915013</v>
      </c>
      <c r="M216" s="231">
        <f t="shared" si="21"/>
        <v>1205531.3745872995</v>
      </c>
    </row>
    <row r="217" spans="9:13" ht="16.5" hidden="1" customHeight="1">
      <c r="I217" s="114">
        <v>215</v>
      </c>
      <c r="J217" s="230">
        <f t="shared" si="18"/>
        <v>52462.800714870151</v>
      </c>
      <c r="K217" s="114">
        <f t="shared" si="19"/>
        <v>11301.856636755932</v>
      </c>
      <c r="L217" s="230">
        <f t="shared" si="20"/>
        <v>41160.944078114218</v>
      </c>
      <c r="M217" s="231">
        <f t="shared" si="21"/>
        <v>1164370.4305091854</v>
      </c>
    </row>
    <row r="218" spans="9:13" ht="16.5" hidden="1" customHeight="1">
      <c r="I218" s="114">
        <v>216</v>
      </c>
      <c r="J218" s="230">
        <f t="shared" si="18"/>
        <v>52462.800714870151</v>
      </c>
      <c r="K218" s="114">
        <f t="shared" si="19"/>
        <v>10915.972786023613</v>
      </c>
      <c r="L218" s="230">
        <f t="shared" si="20"/>
        <v>41546.827928846542</v>
      </c>
      <c r="M218" s="231">
        <f t="shared" si="21"/>
        <v>1122823.6025803389</v>
      </c>
    </row>
    <row r="219" spans="9:13" ht="16.5" hidden="1" customHeight="1">
      <c r="I219" s="114">
        <v>217</v>
      </c>
      <c r="J219" s="230">
        <f t="shared" si="18"/>
        <v>52462.800714870151</v>
      </c>
      <c r="K219" s="114">
        <f t="shared" si="19"/>
        <v>10526.471274190677</v>
      </c>
      <c r="L219" s="230">
        <f t="shared" si="20"/>
        <v>41936.329440679474</v>
      </c>
      <c r="M219" s="231">
        <f t="shared" si="21"/>
        <v>1080887.2731396595</v>
      </c>
    </row>
    <row r="220" spans="9:13" ht="16.5" hidden="1" customHeight="1">
      <c r="I220" s="114">
        <v>218</v>
      </c>
      <c r="J220" s="230">
        <f t="shared" si="18"/>
        <v>52462.800714870151</v>
      </c>
      <c r="K220" s="114">
        <f t="shared" si="19"/>
        <v>10133.318185684308</v>
      </c>
      <c r="L220" s="230">
        <f t="shared" si="20"/>
        <v>42329.482529185843</v>
      </c>
      <c r="M220" s="231">
        <f t="shared" si="21"/>
        <v>1038557.7906104737</v>
      </c>
    </row>
    <row r="221" spans="9:13" ht="16.5" hidden="1" customHeight="1">
      <c r="I221" s="114">
        <v>219</v>
      </c>
      <c r="J221" s="230">
        <f t="shared" si="18"/>
        <v>52462.800714870151</v>
      </c>
      <c r="K221" s="114">
        <f t="shared" si="19"/>
        <v>9736.47928697319</v>
      </c>
      <c r="L221" s="230">
        <f t="shared" si="20"/>
        <v>42726.321427896961</v>
      </c>
      <c r="M221" s="231">
        <f t="shared" si="21"/>
        <v>995831.46918257675</v>
      </c>
    </row>
    <row r="222" spans="9:13" ht="16.5" hidden="1" customHeight="1">
      <c r="I222" s="114">
        <v>220</v>
      </c>
      <c r="J222" s="230">
        <f t="shared" si="18"/>
        <v>52462.800714870151</v>
      </c>
      <c r="K222" s="114">
        <f t="shared" si="19"/>
        <v>9335.9200235866574</v>
      </c>
      <c r="L222" s="230">
        <f t="shared" si="20"/>
        <v>43126.880691283492</v>
      </c>
      <c r="M222" s="231">
        <f t="shared" si="21"/>
        <v>952704.58849129325</v>
      </c>
    </row>
    <row r="223" spans="9:13" ht="16.5" hidden="1" customHeight="1">
      <c r="I223" s="114">
        <v>221</v>
      </c>
      <c r="J223" s="230">
        <f t="shared" si="18"/>
        <v>52462.800714870151</v>
      </c>
      <c r="K223" s="114">
        <f t="shared" si="19"/>
        <v>8931.6055171058742</v>
      </c>
      <c r="L223" s="230">
        <f t="shared" si="20"/>
        <v>43531.195197764275</v>
      </c>
      <c r="M223" s="231">
        <f t="shared" si="21"/>
        <v>909173.39329352893</v>
      </c>
    </row>
    <row r="224" spans="9:13" ht="16.5" hidden="1" customHeight="1">
      <c r="I224" s="114">
        <v>222</v>
      </c>
      <c r="J224" s="230">
        <f t="shared" si="18"/>
        <v>52462.800714870151</v>
      </c>
      <c r="K224" s="114">
        <f t="shared" si="19"/>
        <v>8523.5005621268338</v>
      </c>
      <c r="L224" s="230">
        <f t="shared" si="20"/>
        <v>43939.300152743315</v>
      </c>
      <c r="M224" s="231">
        <f t="shared" si="21"/>
        <v>865234.09314078558</v>
      </c>
    </row>
    <row r="225" spans="9:13" ht="16.5" hidden="1" customHeight="1">
      <c r="I225" s="114">
        <v>223</v>
      </c>
      <c r="J225" s="230">
        <f t="shared" si="18"/>
        <v>52462.800714870151</v>
      </c>
      <c r="K225" s="114">
        <f t="shared" si="19"/>
        <v>8111.5696231948641</v>
      </c>
      <c r="L225" s="230">
        <f t="shared" si="20"/>
        <v>44351.23109167529</v>
      </c>
      <c r="M225" s="231">
        <f t="shared" si="21"/>
        <v>820882.86204911023</v>
      </c>
    </row>
    <row r="226" spans="9:13" ht="16.5" hidden="1" customHeight="1">
      <c r="I226" s="114">
        <v>224</v>
      </c>
      <c r="J226" s="230">
        <f t="shared" si="18"/>
        <v>52462.800714870151</v>
      </c>
      <c r="K226" s="114">
        <f t="shared" si="19"/>
        <v>7695.7768317104083</v>
      </c>
      <c r="L226" s="230">
        <f t="shared" si="20"/>
        <v>44767.023883159745</v>
      </c>
      <c r="M226" s="231">
        <f t="shared" si="21"/>
        <v>776115.8381659505</v>
      </c>
    </row>
    <row r="227" spans="9:13" ht="16.5" hidden="1" customHeight="1">
      <c r="I227" s="114">
        <v>225</v>
      </c>
      <c r="J227" s="230">
        <f t="shared" si="18"/>
        <v>52462.800714870151</v>
      </c>
      <c r="K227" s="114">
        <f t="shared" si="19"/>
        <v>7276.0859828057855</v>
      </c>
      <c r="L227" s="230">
        <f t="shared" si="20"/>
        <v>45186.714732064363</v>
      </c>
      <c r="M227" s="231">
        <f t="shared" si="21"/>
        <v>730929.1234338861</v>
      </c>
    </row>
    <row r="228" spans="9:13" ht="16.5" hidden="1" customHeight="1">
      <c r="I228" s="114">
        <v>226</v>
      </c>
      <c r="J228" s="230">
        <f t="shared" si="18"/>
        <v>52462.800714870151</v>
      </c>
      <c r="K228" s="114">
        <f t="shared" si="19"/>
        <v>6852.460532192682</v>
      </c>
      <c r="L228" s="230">
        <f t="shared" si="20"/>
        <v>45610.340182677472</v>
      </c>
      <c r="M228" s="231">
        <f t="shared" si="21"/>
        <v>685318.7832512086</v>
      </c>
    </row>
    <row r="229" spans="9:13" ht="16.5" hidden="1" customHeight="1">
      <c r="I229" s="114">
        <v>227</v>
      </c>
      <c r="J229" s="230">
        <f t="shared" si="18"/>
        <v>52462.800714870151</v>
      </c>
      <c r="K229" s="114">
        <f t="shared" si="19"/>
        <v>6424.8635929800803</v>
      </c>
      <c r="L229" s="230">
        <f t="shared" si="20"/>
        <v>46037.937121890071</v>
      </c>
      <c r="M229" s="231">
        <f t="shared" si="21"/>
        <v>639280.84612931858</v>
      </c>
    </row>
    <row r="230" spans="9:13" ht="16.5" hidden="1" customHeight="1">
      <c r="I230" s="114">
        <v>228</v>
      </c>
      <c r="J230" s="230">
        <f t="shared" si="18"/>
        <v>52462.800714870151</v>
      </c>
      <c r="K230" s="114">
        <f t="shared" si="19"/>
        <v>5993.2579324623612</v>
      </c>
      <c r="L230" s="230">
        <f t="shared" si="20"/>
        <v>46469.542782407792</v>
      </c>
      <c r="M230" s="231">
        <f t="shared" si="21"/>
        <v>592811.30334691075</v>
      </c>
    </row>
    <row r="231" spans="9:13" ht="16.5" hidden="1" customHeight="1">
      <c r="I231" s="114">
        <v>229</v>
      </c>
      <c r="J231" s="230">
        <f t="shared" si="18"/>
        <v>52462.800714870151</v>
      </c>
      <c r="K231" s="114">
        <f t="shared" si="19"/>
        <v>5557.6059688772884</v>
      </c>
      <c r="L231" s="230">
        <f t="shared" si="20"/>
        <v>46905.194745992863</v>
      </c>
      <c r="M231" s="231">
        <f t="shared" si="21"/>
        <v>545906.10860091785</v>
      </c>
    </row>
    <row r="232" spans="9:13" ht="16.5" hidden="1" customHeight="1">
      <c r="I232" s="114">
        <v>230</v>
      </c>
      <c r="J232" s="230">
        <f t="shared" si="18"/>
        <v>52462.800714870151</v>
      </c>
      <c r="K232" s="114">
        <f t="shared" si="19"/>
        <v>5117.8697681336043</v>
      </c>
      <c r="L232" s="230">
        <f t="shared" si="20"/>
        <v>47344.930946736546</v>
      </c>
      <c r="M232" s="231">
        <f t="shared" si="21"/>
        <v>498561.17765418132</v>
      </c>
    </row>
    <row r="233" spans="9:13" ht="16.5" hidden="1" customHeight="1">
      <c r="I233" s="114">
        <v>231</v>
      </c>
      <c r="J233" s="230">
        <f t="shared" si="18"/>
        <v>52462.800714870151</v>
      </c>
      <c r="K233" s="114">
        <f t="shared" si="19"/>
        <v>4674.0110405079495</v>
      </c>
      <c r="L233" s="230">
        <f t="shared" si="20"/>
        <v>47788.789674362204</v>
      </c>
      <c r="M233" s="231">
        <f t="shared" si="21"/>
        <v>450772.38797981909</v>
      </c>
    </row>
    <row r="234" spans="9:13" ht="16.5" hidden="1" customHeight="1">
      <c r="I234" s="114">
        <v>232</v>
      </c>
      <c r="J234" s="230">
        <f t="shared" si="18"/>
        <v>52462.800714870151</v>
      </c>
      <c r="K234" s="114">
        <f t="shared" si="19"/>
        <v>4225.9911373108034</v>
      </c>
      <c r="L234" s="230">
        <f t="shared" si="20"/>
        <v>48236.809577559347</v>
      </c>
      <c r="M234" s="231">
        <f t="shared" si="21"/>
        <v>402535.57840225974</v>
      </c>
    </row>
    <row r="235" spans="9:13" ht="16.5" hidden="1" customHeight="1">
      <c r="I235" s="114">
        <v>233</v>
      </c>
      <c r="J235" s="230">
        <f t="shared" si="18"/>
        <v>52462.800714870151</v>
      </c>
      <c r="K235" s="114">
        <f t="shared" si="19"/>
        <v>3773.7710475211848</v>
      </c>
      <c r="L235" s="230">
        <f t="shared" si="20"/>
        <v>48689.029667348965</v>
      </c>
      <c r="M235" s="231">
        <f t="shared" si="21"/>
        <v>353846.54873491079</v>
      </c>
    </row>
    <row r="236" spans="9:13" ht="16.5" hidden="1" customHeight="1">
      <c r="I236" s="114">
        <v>234</v>
      </c>
      <c r="J236" s="230">
        <f t="shared" si="18"/>
        <v>52462.800714870151</v>
      </c>
      <c r="K236" s="114">
        <f t="shared" si="19"/>
        <v>3317.3113943897883</v>
      </c>
      <c r="L236" s="230">
        <f t="shared" si="20"/>
        <v>49145.489320480359</v>
      </c>
      <c r="M236" s="231">
        <f t="shared" si="21"/>
        <v>304701.05941443041</v>
      </c>
    </row>
    <row r="237" spans="9:13" ht="16.5" hidden="1" customHeight="1">
      <c r="I237" s="114">
        <v>235</v>
      </c>
      <c r="J237" s="230">
        <f t="shared" si="18"/>
        <v>52462.800714870151</v>
      </c>
      <c r="K237" s="114">
        <f t="shared" si="19"/>
        <v>2856.572432010285</v>
      </c>
      <c r="L237" s="230">
        <f t="shared" si="20"/>
        <v>49606.228282859869</v>
      </c>
      <c r="M237" s="231">
        <f t="shared" si="21"/>
        <v>255094.83113157054</v>
      </c>
    </row>
    <row r="238" spans="9:13" ht="16.5" hidden="1" customHeight="1">
      <c r="I238" s="114">
        <v>236</v>
      </c>
      <c r="J238" s="230">
        <f t="shared" si="18"/>
        <v>52462.800714870151</v>
      </c>
      <c r="K238" s="114">
        <f t="shared" si="19"/>
        <v>2391.5140418584738</v>
      </c>
      <c r="L238" s="230">
        <f t="shared" si="20"/>
        <v>50071.28667301168</v>
      </c>
      <c r="M238" s="231">
        <f t="shared" si="21"/>
        <v>205023.54445855884</v>
      </c>
    </row>
    <row r="239" spans="9:13" ht="16.5" hidden="1" customHeight="1">
      <c r="I239" s="114">
        <v>237</v>
      </c>
      <c r="J239" s="230">
        <f t="shared" si="18"/>
        <v>52462.800714870151</v>
      </c>
      <c r="K239" s="114">
        <f t="shared" si="19"/>
        <v>1922.095729298989</v>
      </c>
      <c r="L239" s="230">
        <f t="shared" si="20"/>
        <v>50540.704985571159</v>
      </c>
      <c r="M239" s="231">
        <f t="shared" si="21"/>
        <v>154482.83947298769</v>
      </c>
    </row>
    <row r="240" spans="9:13" ht="16.5" hidden="1" customHeight="1">
      <c r="I240" s="114">
        <v>238</v>
      </c>
      <c r="J240" s="230">
        <f t="shared" si="18"/>
        <v>52462.800714870151</v>
      </c>
      <c r="K240" s="114">
        <f t="shared" si="19"/>
        <v>1448.2766200592596</v>
      </c>
      <c r="L240" s="230">
        <f t="shared" si="20"/>
        <v>51014.524094810891</v>
      </c>
      <c r="M240" s="231">
        <f t="shared" si="21"/>
        <v>103468.31537817681</v>
      </c>
    </row>
    <row r="241" spans="9:13" ht="16.5" hidden="1" customHeight="1">
      <c r="I241" s="114">
        <v>239</v>
      </c>
      <c r="J241" s="230">
        <f t="shared" si="18"/>
        <v>52462.800714870151</v>
      </c>
      <c r="K241" s="114">
        <f t="shared" si="19"/>
        <v>970.0154566704075</v>
      </c>
      <c r="L241" s="230">
        <f t="shared" si="20"/>
        <v>51492.785258199743</v>
      </c>
      <c r="M241" s="231">
        <f t="shared" si="21"/>
        <v>51975.530119977062</v>
      </c>
    </row>
    <row r="242" spans="9:13" ht="16.5" hidden="1" customHeight="1">
      <c r="I242" s="114">
        <v>240</v>
      </c>
      <c r="J242" s="230">
        <f t="shared" si="18"/>
        <v>52462.800714870151</v>
      </c>
      <c r="K242" s="114">
        <f t="shared" si="19"/>
        <v>487.27059487478493</v>
      </c>
      <c r="L242" s="230">
        <f t="shared" si="20"/>
        <v>51975.530119995368</v>
      </c>
      <c r="M242" s="231">
        <f t="shared" si="21"/>
        <v>-1.83063093572855E-8</v>
      </c>
    </row>
    <row r="243" spans="9:13" ht="16.5" hidden="1" customHeight="1">
      <c r="I243" s="114">
        <v>241</v>
      </c>
      <c r="J243" s="230">
        <f t="shared" si="18"/>
        <v>52462.800714870151</v>
      </c>
      <c r="K243" s="114">
        <f t="shared" si="19"/>
        <v>-1.7162165022455155E-10</v>
      </c>
      <c r="L243" s="230">
        <f t="shared" si="20"/>
        <v>52462.800714870325</v>
      </c>
      <c r="M243" s="231">
        <f t="shared" si="21"/>
        <v>-52462.800714888632</v>
      </c>
    </row>
    <row r="244" spans="9:13" ht="16.5" hidden="1" customHeight="1">
      <c r="I244" s="114">
        <v>242</v>
      </c>
      <c r="J244" s="230">
        <f t="shared" si="18"/>
        <v>52462.800714870151</v>
      </c>
      <c r="K244" s="114">
        <f t="shared" si="19"/>
        <v>-491.8387567020809</v>
      </c>
      <c r="L244" s="230">
        <f t="shared" si="20"/>
        <v>52954.639471572234</v>
      </c>
      <c r="M244" s="231">
        <f t="shared" si="21"/>
        <v>-105417.44018646087</v>
      </c>
    </row>
    <row r="245" spans="9:13" ht="16.5" hidden="1" customHeight="1">
      <c r="I245" s="114">
        <v>243</v>
      </c>
      <c r="J245" s="230">
        <f t="shared" si="18"/>
        <v>52462.800714870151</v>
      </c>
      <c r="K245" s="114">
        <f t="shared" si="19"/>
        <v>-988.28850174807053</v>
      </c>
      <c r="L245" s="230">
        <f t="shared" si="20"/>
        <v>53451.089216618224</v>
      </c>
      <c r="M245" s="231">
        <f t="shared" si="21"/>
        <v>-158868.5294030791</v>
      </c>
    </row>
    <row r="246" spans="9:13" hidden="1">
      <c r="I246" s="114">
        <v>244</v>
      </c>
      <c r="J246" s="230">
        <f t="shared" si="18"/>
        <v>52462.800714870151</v>
      </c>
      <c r="K246" s="114">
        <f t="shared" si="19"/>
        <v>-1489.3924631538664</v>
      </c>
      <c r="L246" s="230">
        <f t="shared" si="20"/>
        <v>53952.193178024019</v>
      </c>
      <c r="M246" s="231">
        <f t="shared" si="21"/>
        <v>-212820.72258110312</v>
      </c>
    </row>
    <row r="247" spans="9:13" hidden="1">
      <c r="I247" s="114">
        <v>245</v>
      </c>
      <c r="J247" s="230">
        <f t="shared" si="18"/>
        <v>52462.800714870151</v>
      </c>
      <c r="K247" s="114">
        <f t="shared" si="19"/>
        <v>-1995.1942741978417</v>
      </c>
      <c r="L247" s="230">
        <f t="shared" si="20"/>
        <v>54457.994989067993</v>
      </c>
      <c r="M247" s="231">
        <f t="shared" si="21"/>
        <v>-267278.71757017111</v>
      </c>
    </row>
    <row r="248" spans="9:13" hidden="1">
      <c r="I248" s="114">
        <v>246</v>
      </c>
      <c r="J248" s="230">
        <f t="shared" si="18"/>
        <v>52462.800714870151</v>
      </c>
      <c r="K248" s="114">
        <f t="shared" si="19"/>
        <v>-2505.737977220354</v>
      </c>
      <c r="L248" s="230">
        <f t="shared" si="20"/>
        <v>54968.538692090508</v>
      </c>
      <c r="M248" s="231">
        <f t="shared" si="21"/>
        <v>-322247.2562622616</v>
      </c>
    </row>
    <row r="249" spans="9:13" hidden="1">
      <c r="I249" s="114">
        <v>247</v>
      </c>
      <c r="J249" s="230">
        <f t="shared" si="18"/>
        <v>52462.800714870151</v>
      </c>
      <c r="K249" s="114">
        <f t="shared" si="19"/>
        <v>-3021.0680274587025</v>
      </c>
      <c r="L249" s="230">
        <f t="shared" si="20"/>
        <v>55483.86874232885</v>
      </c>
      <c r="M249" s="231">
        <f t="shared" si="21"/>
        <v>-377731.12500459043</v>
      </c>
    </row>
    <row r="250" spans="9:13" hidden="1">
      <c r="I250" s="114">
        <v>248</v>
      </c>
      <c r="J250" s="230">
        <f t="shared" si="18"/>
        <v>52462.800714870151</v>
      </c>
      <c r="K250" s="114">
        <f t="shared" si="19"/>
        <v>-3541.2292969180353</v>
      </c>
      <c r="L250" s="230">
        <f t="shared" si="20"/>
        <v>56004.030011788185</v>
      </c>
      <c r="M250" s="231">
        <f t="shared" si="21"/>
        <v>-433735.15501637862</v>
      </c>
    </row>
    <row r="251" spans="9:13" hidden="1">
      <c r="I251" s="114">
        <v>249</v>
      </c>
      <c r="J251" s="230">
        <f t="shared" si="18"/>
        <v>52462.800714870151</v>
      </c>
      <c r="K251" s="114">
        <f t="shared" si="19"/>
        <v>-4066.2670782785494</v>
      </c>
      <c r="L251" s="230">
        <f t="shared" si="20"/>
        <v>56529.067793148701</v>
      </c>
      <c r="M251" s="231">
        <f t="shared" si="21"/>
        <v>-490264.2228095273</v>
      </c>
    </row>
    <row r="252" spans="9:13" hidden="1">
      <c r="I252" s="114">
        <v>250</v>
      </c>
      <c r="J252" s="230">
        <f t="shared" si="18"/>
        <v>52462.800714870151</v>
      </c>
      <c r="K252" s="114">
        <f t="shared" si="19"/>
        <v>-4596.2270888393186</v>
      </c>
      <c r="L252" s="230">
        <f t="shared" si="20"/>
        <v>57059.027803709469</v>
      </c>
      <c r="M252" s="231">
        <f t="shared" si="21"/>
        <v>-547323.2506132368</v>
      </c>
    </row>
    <row r="253" spans="9:13" hidden="1">
      <c r="I253" s="114">
        <v>251</v>
      </c>
      <c r="J253" s="230">
        <f t="shared" si="18"/>
        <v>52462.800714870151</v>
      </c>
      <c r="K253" s="114">
        <f t="shared" si="19"/>
        <v>-5131.1554744990945</v>
      </c>
      <c r="L253" s="230">
        <f t="shared" si="20"/>
        <v>57593.956189369244</v>
      </c>
      <c r="M253" s="231">
        <f t="shared" si="21"/>
        <v>-604917.206802606</v>
      </c>
    </row>
    <row r="254" spans="9:13" hidden="1">
      <c r="I254" s="114">
        <v>252</v>
      </c>
      <c r="J254" s="230">
        <f t="shared" si="18"/>
        <v>52462.800714870151</v>
      </c>
      <c r="K254" s="114">
        <f t="shared" si="19"/>
        <v>-5671.0988137744307</v>
      </c>
      <c r="L254" s="230">
        <f t="shared" si="20"/>
        <v>58133.899528644579</v>
      </c>
      <c r="M254" s="231">
        <f t="shared" si="21"/>
        <v>-663051.10633125063</v>
      </c>
    </row>
    <row r="255" spans="9:13" hidden="1">
      <c r="I255" s="114">
        <v>253</v>
      </c>
      <c r="J255" s="230">
        <f t="shared" si="18"/>
        <v>52462.800714870151</v>
      </c>
      <c r="K255" s="114">
        <f t="shared" si="19"/>
        <v>-6216.1041218554747</v>
      </c>
      <c r="L255" s="230">
        <f t="shared" si="20"/>
        <v>58678.904836725626</v>
      </c>
      <c r="M255" s="231">
        <f t="shared" si="21"/>
        <v>-721730.01116797631</v>
      </c>
    </row>
    <row r="256" spans="9:13" hidden="1">
      <c r="I256" s="114">
        <v>254</v>
      </c>
      <c r="J256" s="230">
        <f t="shared" si="18"/>
        <v>52462.800714870151</v>
      </c>
      <c r="K256" s="114">
        <f t="shared" si="19"/>
        <v>-6766.2188546997777</v>
      </c>
      <c r="L256" s="230">
        <f t="shared" si="20"/>
        <v>59229.019569569929</v>
      </c>
      <c r="M256" s="231">
        <f t="shared" si="21"/>
        <v>-780959.03073754627</v>
      </c>
    </row>
    <row r="257" spans="9:13" hidden="1">
      <c r="I257" s="114">
        <v>255</v>
      </c>
      <c r="J257" s="230">
        <f t="shared" si="18"/>
        <v>52462.800714870151</v>
      </c>
      <c r="K257" s="114">
        <f t="shared" si="19"/>
        <v>-7321.4909131644963</v>
      </c>
      <c r="L257" s="230">
        <f t="shared" si="20"/>
        <v>59784.291628034647</v>
      </c>
      <c r="M257" s="231">
        <f t="shared" si="21"/>
        <v>-840743.32236558094</v>
      </c>
    </row>
    <row r="258" spans="9:13" hidden="1">
      <c r="I258" s="114">
        <v>256</v>
      </c>
      <c r="J258" s="230">
        <f t="shared" si="18"/>
        <v>52462.800714870151</v>
      </c>
      <c r="K258" s="114">
        <f t="shared" si="19"/>
        <v>-7881.9686471773211</v>
      </c>
      <c r="L258" s="230">
        <f t="shared" si="20"/>
        <v>60344.769362047475</v>
      </c>
      <c r="M258" s="231">
        <f t="shared" si="21"/>
        <v>-901088.09172762837</v>
      </c>
    </row>
    <row r="259" spans="9:13" hidden="1">
      <c r="I259" s="114">
        <v>257</v>
      </c>
      <c r="J259" s="230">
        <f t="shared" si="18"/>
        <v>52462.800714870151</v>
      </c>
      <c r="K259" s="114">
        <f t="shared" si="19"/>
        <v>-8447.7008599465153</v>
      </c>
      <c r="L259" s="230">
        <f t="shared" si="20"/>
        <v>60910.501574816662</v>
      </c>
      <c r="M259" s="231">
        <f t="shared" si="21"/>
        <v>-961998.59330244502</v>
      </c>
    </row>
    <row r="260" spans="9:13" hidden="1">
      <c r="I260" s="114">
        <v>258</v>
      </c>
      <c r="J260" s="230">
        <f t="shared" ref="J260:J302" si="22">$C$7</f>
        <v>52462.800714870151</v>
      </c>
      <c r="K260" s="114">
        <f t="shared" ref="K260:K302" si="23">M259*($C$5/12)</f>
        <v>-9018.7368122104217</v>
      </c>
      <c r="L260" s="230">
        <f t="shared" ref="L260:L302" si="24">J260-K260</f>
        <v>61481.537527080574</v>
      </c>
      <c r="M260" s="231">
        <f t="shared" ref="M260:M302" si="25">M259-L260</f>
        <v>-1023480.1308295256</v>
      </c>
    </row>
    <row r="261" spans="9:13" hidden="1">
      <c r="I261" s="114">
        <v>259</v>
      </c>
      <c r="J261" s="230">
        <f t="shared" si="22"/>
        <v>52462.800714870151</v>
      </c>
      <c r="K261" s="114">
        <f t="shared" si="23"/>
        <v>-9595.1262265268033</v>
      </c>
      <c r="L261" s="230">
        <f t="shared" si="24"/>
        <v>62057.926941396952</v>
      </c>
      <c r="M261" s="231">
        <f t="shared" si="25"/>
        <v>-1085538.0577709225</v>
      </c>
    </row>
    <row r="262" spans="9:13" hidden="1">
      <c r="I262" s="114">
        <v>260</v>
      </c>
      <c r="J262" s="230">
        <f t="shared" si="22"/>
        <v>52462.800714870151</v>
      </c>
      <c r="K262" s="114">
        <f t="shared" si="23"/>
        <v>-10176.919291602399</v>
      </c>
      <c r="L262" s="230">
        <f t="shared" si="24"/>
        <v>62639.720006472548</v>
      </c>
      <c r="M262" s="231">
        <f t="shared" si="25"/>
        <v>-1148177.7777773952</v>
      </c>
    </row>
    <row r="263" spans="9:13" hidden="1">
      <c r="I263" s="114">
        <v>261</v>
      </c>
      <c r="J263" s="230">
        <f t="shared" si="22"/>
        <v>52462.800714870151</v>
      </c>
      <c r="K263" s="114">
        <f t="shared" si="23"/>
        <v>-10764.166666663079</v>
      </c>
      <c r="L263" s="230">
        <f t="shared" si="24"/>
        <v>63226.967381533228</v>
      </c>
      <c r="M263" s="231">
        <f t="shared" si="25"/>
        <v>-1211404.7451589284</v>
      </c>
    </row>
    <row r="264" spans="9:13" hidden="1">
      <c r="I264" s="114">
        <v>262</v>
      </c>
      <c r="J264" s="230">
        <f t="shared" si="22"/>
        <v>52462.800714870151</v>
      </c>
      <c r="K264" s="114">
        <f t="shared" si="23"/>
        <v>-11356.919485864953</v>
      </c>
      <c r="L264" s="230">
        <f t="shared" si="24"/>
        <v>63819.720200735101</v>
      </c>
      <c r="M264" s="231">
        <f t="shared" si="25"/>
        <v>-1275224.4653596636</v>
      </c>
    </row>
    <row r="265" spans="9:13" hidden="1">
      <c r="I265" s="114">
        <v>263</v>
      </c>
      <c r="J265" s="230">
        <f t="shared" si="22"/>
        <v>52462.800714870151</v>
      </c>
      <c r="K265" s="114">
        <f t="shared" si="23"/>
        <v>-11955.229362746846</v>
      </c>
      <c r="L265" s="230">
        <f t="shared" si="24"/>
        <v>64418.030077616997</v>
      </c>
      <c r="M265" s="231">
        <f t="shared" si="25"/>
        <v>-1339642.4954372805</v>
      </c>
    </row>
    <row r="266" spans="9:13" hidden="1">
      <c r="I266" s="114">
        <v>264</v>
      </c>
      <c r="J266" s="230">
        <f t="shared" si="22"/>
        <v>52462.800714870151</v>
      </c>
      <c r="K266" s="114">
        <f t="shared" si="23"/>
        <v>-12559.148394724505</v>
      </c>
      <c r="L266" s="230">
        <f t="shared" si="24"/>
        <v>65021.949109594658</v>
      </c>
      <c r="M266" s="231">
        <f t="shared" si="25"/>
        <v>-1404664.4445468751</v>
      </c>
    </row>
    <row r="267" spans="9:13" hidden="1">
      <c r="I267" s="114">
        <v>265</v>
      </c>
      <c r="J267" s="230">
        <f t="shared" si="22"/>
        <v>52462.800714870151</v>
      </c>
      <c r="K267" s="114">
        <f t="shared" si="23"/>
        <v>-13168.729167626954</v>
      </c>
      <c r="L267" s="230">
        <f t="shared" si="24"/>
        <v>65631.529882497111</v>
      </c>
      <c r="M267" s="231">
        <f t="shared" si="25"/>
        <v>-1470295.9744293722</v>
      </c>
    </row>
    <row r="268" spans="9:13" hidden="1">
      <c r="I268" s="114">
        <v>266</v>
      </c>
      <c r="J268" s="230">
        <f t="shared" si="22"/>
        <v>52462.800714870151</v>
      </c>
      <c r="K268" s="114">
        <f t="shared" si="23"/>
        <v>-13784.024760275364</v>
      </c>
      <c r="L268" s="230">
        <f t="shared" si="24"/>
        <v>66246.82547514551</v>
      </c>
      <c r="M268" s="231">
        <f t="shared" si="25"/>
        <v>-1536542.7999045178</v>
      </c>
    </row>
    <row r="269" spans="9:13" hidden="1">
      <c r="I269" s="114">
        <v>267</v>
      </c>
      <c r="J269" s="230">
        <f t="shared" si="22"/>
        <v>52462.800714870151</v>
      </c>
      <c r="K269" s="114">
        <f t="shared" si="23"/>
        <v>-14405.088749104854</v>
      </c>
      <c r="L269" s="230">
        <f t="shared" si="24"/>
        <v>66867.889463975007</v>
      </c>
      <c r="M269" s="231">
        <f t="shared" si="25"/>
        <v>-1603410.6893684929</v>
      </c>
    </row>
    <row r="270" spans="9:13" hidden="1">
      <c r="I270" s="114">
        <v>268</v>
      </c>
      <c r="J270" s="230">
        <f t="shared" si="22"/>
        <v>52462.800714870151</v>
      </c>
      <c r="K270" s="114">
        <f t="shared" si="23"/>
        <v>-15031.97521282962</v>
      </c>
      <c r="L270" s="230">
        <f t="shared" si="24"/>
        <v>67494.775927699768</v>
      </c>
      <c r="M270" s="231">
        <f t="shared" si="25"/>
        <v>-1670905.4652961928</v>
      </c>
    </row>
    <row r="271" spans="9:13" hidden="1">
      <c r="I271" s="114">
        <v>269</v>
      </c>
      <c r="J271" s="230">
        <f t="shared" si="22"/>
        <v>52462.800714870151</v>
      </c>
      <c r="K271" s="114">
        <f t="shared" si="23"/>
        <v>-15664.738737151807</v>
      </c>
      <c r="L271" s="230">
        <f t="shared" si="24"/>
        <v>68127.539452021956</v>
      </c>
      <c r="M271" s="231">
        <f t="shared" si="25"/>
        <v>-1739033.0047482147</v>
      </c>
    </row>
    <row r="272" spans="9:13" hidden="1">
      <c r="I272" s="114">
        <v>270</v>
      </c>
      <c r="J272" s="230">
        <f t="shared" si="22"/>
        <v>52462.800714870151</v>
      </c>
      <c r="K272" s="114">
        <f t="shared" si="23"/>
        <v>-16303.434419514513</v>
      </c>
      <c r="L272" s="230">
        <f t="shared" si="24"/>
        <v>68766.235134384668</v>
      </c>
      <c r="M272" s="231">
        <f t="shared" si="25"/>
        <v>-1807799.2398825993</v>
      </c>
    </row>
    <row r="273" spans="9:13" hidden="1">
      <c r="I273" s="114">
        <v>271</v>
      </c>
      <c r="J273" s="230">
        <f t="shared" si="22"/>
        <v>52462.800714870151</v>
      </c>
      <c r="K273" s="114">
        <f t="shared" si="23"/>
        <v>-16948.117873899369</v>
      </c>
      <c r="L273" s="230">
        <f t="shared" si="24"/>
        <v>69410.91858876952</v>
      </c>
      <c r="M273" s="231">
        <f t="shared" si="25"/>
        <v>-1877210.158471369</v>
      </c>
    </row>
    <row r="274" spans="9:13" hidden="1">
      <c r="I274" s="114">
        <v>272</v>
      </c>
      <c r="J274" s="230">
        <f t="shared" si="22"/>
        <v>52462.800714870151</v>
      </c>
      <c r="K274" s="114">
        <f t="shared" si="23"/>
        <v>-17598.845235669083</v>
      </c>
      <c r="L274" s="230">
        <f t="shared" si="24"/>
        <v>70061.645950539241</v>
      </c>
      <c r="M274" s="231">
        <f t="shared" si="25"/>
        <v>-1947271.8044219082</v>
      </c>
    </row>
    <row r="275" spans="9:13" hidden="1">
      <c r="I275" s="114">
        <v>273</v>
      </c>
      <c r="J275" s="230">
        <f t="shared" si="22"/>
        <v>52462.800714870151</v>
      </c>
      <c r="K275" s="114">
        <f t="shared" si="23"/>
        <v>-18255.673166455388</v>
      </c>
      <c r="L275" s="230">
        <f t="shared" si="24"/>
        <v>70718.473881325539</v>
      </c>
      <c r="M275" s="231">
        <f t="shared" si="25"/>
        <v>-2017990.2783032337</v>
      </c>
    </row>
    <row r="276" spans="9:13" hidden="1">
      <c r="I276" s="114">
        <v>274</v>
      </c>
      <c r="J276" s="230">
        <f t="shared" si="22"/>
        <v>52462.800714870151</v>
      </c>
      <c r="K276" s="114">
        <f t="shared" si="23"/>
        <v>-18918.658859092815</v>
      </c>
      <c r="L276" s="230">
        <f t="shared" si="24"/>
        <v>71381.459573962959</v>
      </c>
      <c r="M276" s="231">
        <f t="shared" si="25"/>
        <v>-2089371.7378771966</v>
      </c>
    </row>
    <row r="277" spans="9:13" hidden="1">
      <c r="I277" s="114">
        <v>275</v>
      </c>
      <c r="J277" s="230">
        <f t="shared" si="22"/>
        <v>52462.800714870151</v>
      </c>
      <c r="K277" s="114">
        <f t="shared" si="23"/>
        <v>-19587.860042598717</v>
      </c>
      <c r="L277" s="230">
        <f t="shared" si="24"/>
        <v>72050.660757468868</v>
      </c>
      <c r="M277" s="231">
        <f t="shared" si="25"/>
        <v>-2161422.3986346656</v>
      </c>
    </row>
    <row r="278" spans="9:13" hidden="1">
      <c r="I278" s="114">
        <v>276</v>
      </c>
      <c r="J278" s="230">
        <f t="shared" si="22"/>
        <v>52462.800714870151</v>
      </c>
      <c r="K278" s="114">
        <f t="shared" si="23"/>
        <v>-20263.334987199989</v>
      </c>
      <c r="L278" s="230">
        <f t="shared" si="24"/>
        <v>72726.13570207014</v>
      </c>
      <c r="M278" s="231">
        <f t="shared" si="25"/>
        <v>-2234148.534336736</v>
      </c>
    </row>
    <row r="279" spans="9:13" hidden="1">
      <c r="I279" s="114">
        <v>277</v>
      </c>
      <c r="J279" s="230">
        <f t="shared" si="22"/>
        <v>52462.800714870151</v>
      </c>
      <c r="K279" s="114">
        <f t="shared" si="23"/>
        <v>-20945.142509406898</v>
      </c>
      <c r="L279" s="230">
        <f t="shared" si="24"/>
        <v>73407.943224277056</v>
      </c>
      <c r="M279" s="231">
        <f t="shared" si="25"/>
        <v>-2307556.4775610128</v>
      </c>
    </row>
    <row r="280" spans="9:13" hidden="1">
      <c r="I280" s="114">
        <v>278</v>
      </c>
      <c r="J280" s="230">
        <f t="shared" si="22"/>
        <v>52462.800714870151</v>
      </c>
      <c r="K280" s="114">
        <f t="shared" si="23"/>
        <v>-21633.341977134496</v>
      </c>
      <c r="L280" s="230">
        <f t="shared" si="24"/>
        <v>74096.142692004651</v>
      </c>
      <c r="M280" s="231">
        <f t="shared" si="25"/>
        <v>-2381652.6202530176</v>
      </c>
    </row>
    <row r="281" spans="9:13" hidden="1">
      <c r="I281" s="114">
        <v>279</v>
      </c>
      <c r="J281" s="230">
        <f t="shared" si="22"/>
        <v>52462.800714870151</v>
      </c>
      <c r="K281" s="114">
        <f t="shared" si="23"/>
        <v>-22327.993314872041</v>
      </c>
      <c r="L281" s="230">
        <f t="shared" si="24"/>
        <v>74790.794029742188</v>
      </c>
      <c r="M281" s="231">
        <f t="shared" si="25"/>
        <v>-2456443.4142827597</v>
      </c>
    </row>
    <row r="282" spans="9:13" hidden="1">
      <c r="I282" s="114">
        <v>280</v>
      </c>
      <c r="J282" s="230">
        <f t="shared" si="22"/>
        <v>52462.800714870151</v>
      </c>
      <c r="K282" s="114">
        <f t="shared" si="23"/>
        <v>-23029.157008900871</v>
      </c>
      <c r="L282" s="230">
        <f t="shared" si="24"/>
        <v>75491.957723771018</v>
      </c>
      <c r="M282" s="231">
        <f t="shared" si="25"/>
        <v>-2531935.3720065309</v>
      </c>
    </row>
    <row r="283" spans="9:13" hidden="1">
      <c r="I283" s="114">
        <v>281</v>
      </c>
      <c r="J283" s="230">
        <f t="shared" si="22"/>
        <v>52462.800714870151</v>
      </c>
      <c r="K283" s="114">
        <f t="shared" si="23"/>
        <v>-23736.894112561225</v>
      </c>
      <c r="L283" s="230">
        <f t="shared" si="24"/>
        <v>76199.694827431376</v>
      </c>
      <c r="M283" s="231">
        <f t="shared" si="25"/>
        <v>-2608135.0668339622</v>
      </c>
    </row>
    <row r="284" spans="9:13" hidden="1">
      <c r="I284" s="114">
        <v>282</v>
      </c>
      <c r="J284" s="230">
        <f t="shared" si="22"/>
        <v>52462.800714870151</v>
      </c>
      <c r="K284" s="114">
        <f t="shared" si="23"/>
        <v>-24451.266251568395</v>
      </c>
      <c r="L284" s="230">
        <f t="shared" si="24"/>
        <v>76914.06696643855</v>
      </c>
      <c r="M284" s="231">
        <f t="shared" si="25"/>
        <v>-2685049.1338004009</v>
      </c>
    </row>
    <row r="285" spans="9:13" hidden="1">
      <c r="I285" s="114">
        <v>283</v>
      </c>
      <c r="J285" s="230">
        <f t="shared" si="22"/>
        <v>52462.800714870151</v>
      </c>
      <c r="K285" s="114">
        <f t="shared" si="23"/>
        <v>-25172.335629378758</v>
      </c>
      <c r="L285" s="230">
        <f t="shared" si="24"/>
        <v>77635.136344248909</v>
      </c>
      <c r="M285" s="231">
        <f t="shared" si="25"/>
        <v>-2762684.2701446498</v>
      </c>
    </row>
    <row r="286" spans="9:13" hidden="1">
      <c r="I286" s="114">
        <v>284</v>
      </c>
      <c r="J286" s="230">
        <f t="shared" si="22"/>
        <v>52462.800714870151</v>
      </c>
      <c r="K286" s="114">
        <f t="shared" si="23"/>
        <v>-25900.165032606092</v>
      </c>
      <c r="L286" s="230">
        <f t="shared" si="24"/>
        <v>78362.965747476235</v>
      </c>
      <c r="M286" s="231">
        <f t="shared" si="25"/>
        <v>-2841047.2358921259</v>
      </c>
    </row>
    <row r="287" spans="9:13" hidden="1">
      <c r="I287" s="114">
        <v>285</v>
      </c>
      <c r="J287" s="230">
        <f t="shared" si="22"/>
        <v>52462.800714870151</v>
      </c>
      <c r="K287" s="114">
        <f t="shared" si="23"/>
        <v>-26634.817836488681</v>
      </c>
      <c r="L287" s="230">
        <f t="shared" si="24"/>
        <v>79097.618551358828</v>
      </c>
      <c r="M287" s="231">
        <f t="shared" si="25"/>
        <v>-2920144.8544434849</v>
      </c>
    </row>
    <row r="288" spans="9:13" hidden="1">
      <c r="I288" s="114">
        <v>286</v>
      </c>
      <c r="J288" s="230">
        <f t="shared" si="22"/>
        <v>52462.800714870151</v>
      </c>
      <c r="K288" s="114">
        <f t="shared" si="23"/>
        <v>-27376.358010407672</v>
      </c>
      <c r="L288" s="230">
        <f t="shared" si="24"/>
        <v>79839.158725277826</v>
      </c>
      <c r="M288" s="231">
        <f t="shared" si="25"/>
        <v>-2999984.0131687629</v>
      </c>
    </row>
    <row r="289" spans="9:13" hidden="1">
      <c r="I289" s="114">
        <v>287</v>
      </c>
      <c r="J289" s="230">
        <f t="shared" si="22"/>
        <v>52462.800714870151</v>
      </c>
      <c r="K289" s="114">
        <f t="shared" si="23"/>
        <v>-28124.850123457152</v>
      </c>
      <c r="L289" s="230">
        <f t="shared" si="24"/>
        <v>80587.650838327303</v>
      </c>
      <c r="M289" s="231">
        <f t="shared" si="25"/>
        <v>-3080571.66400709</v>
      </c>
    </row>
    <row r="290" spans="9:13" hidden="1">
      <c r="I290" s="114">
        <v>288</v>
      </c>
      <c r="J290" s="230">
        <f t="shared" si="22"/>
        <v>52462.800714870151</v>
      </c>
      <c r="K290" s="114">
        <f t="shared" si="23"/>
        <v>-28880.359350066468</v>
      </c>
      <c r="L290" s="230">
        <f t="shared" si="24"/>
        <v>81343.160064936616</v>
      </c>
      <c r="M290" s="231">
        <f t="shared" si="25"/>
        <v>-3161914.8240720266</v>
      </c>
    </row>
    <row r="291" spans="9:13" hidden="1">
      <c r="I291" s="114">
        <v>289</v>
      </c>
      <c r="J291" s="230">
        <f t="shared" si="22"/>
        <v>52462.800714870151</v>
      </c>
      <c r="K291" s="114">
        <f t="shared" si="23"/>
        <v>-29642.951475675247</v>
      </c>
      <c r="L291" s="230">
        <f t="shared" si="24"/>
        <v>82105.752190545405</v>
      </c>
      <c r="M291" s="231">
        <f t="shared" si="25"/>
        <v>-3244020.5762625718</v>
      </c>
    </row>
    <row r="292" spans="9:13" hidden="1">
      <c r="I292" s="114">
        <v>290</v>
      </c>
      <c r="J292" s="230">
        <f t="shared" si="22"/>
        <v>52462.800714870151</v>
      </c>
      <c r="K292" s="114">
        <f t="shared" si="23"/>
        <v>-30412.692902461611</v>
      </c>
      <c r="L292" s="230">
        <f t="shared" si="24"/>
        <v>82875.493617331755</v>
      </c>
      <c r="M292" s="231">
        <f t="shared" si="25"/>
        <v>-3326896.0698799035</v>
      </c>
    </row>
    <row r="293" spans="9:13" hidden="1">
      <c r="I293" s="114">
        <v>291</v>
      </c>
      <c r="J293" s="230">
        <f t="shared" si="22"/>
        <v>52462.800714870151</v>
      </c>
      <c r="K293" s="114">
        <f t="shared" si="23"/>
        <v>-31189.650655124093</v>
      </c>
      <c r="L293" s="230">
        <f t="shared" si="24"/>
        <v>83652.451369994247</v>
      </c>
      <c r="M293" s="231">
        <f t="shared" si="25"/>
        <v>-3410548.5212498978</v>
      </c>
    </row>
    <row r="294" spans="9:13" hidden="1">
      <c r="I294" s="114">
        <v>292</v>
      </c>
      <c r="J294" s="230">
        <f t="shared" si="22"/>
        <v>52462.800714870151</v>
      </c>
      <c r="K294" s="114">
        <f t="shared" si="23"/>
        <v>-31973.892386717791</v>
      </c>
      <c r="L294" s="230">
        <f t="shared" si="24"/>
        <v>84436.693101587938</v>
      </c>
      <c r="M294" s="231">
        <f t="shared" si="25"/>
        <v>-3494985.2143514855</v>
      </c>
    </row>
    <row r="295" spans="9:13" hidden="1">
      <c r="I295" s="114">
        <v>293</v>
      </c>
      <c r="J295" s="230">
        <f t="shared" si="22"/>
        <v>52462.800714870151</v>
      </c>
      <c r="K295" s="114">
        <f t="shared" si="23"/>
        <v>-32765.486384545176</v>
      </c>
      <c r="L295" s="230">
        <f t="shared" si="24"/>
        <v>85228.28709941532</v>
      </c>
      <c r="M295" s="231">
        <f t="shared" si="25"/>
        <v>-3580213.5014509009</v>
      </c>
    </row>
    <row r="296" spans="9:13" hidden="1">
      <c r="I296" s="114">
        <v>294</v>
      </c>
      <c r="J296" s="230">
        <f t="shared" si="22"/>
        <v>52462.800714870151</v>
      </c>
      <c r="K296" s="114">
        <f t="shared" si="23"/>
        <v>-33564.501576102193</v>
      </c>
      <c r="L296" s="230">
        <f t="shared" si="24"/>
        <v>86027.302290972351</v>
      </c>
      <c r="M296" s="231">
        <f t="shared" si="25"/>
        <v>-3666240.8037418732</v>
      </c>
    </row>
    <row r="297" spans="9:13" hidden="1">
      <c r="I297" s="114">
        <v>295</v>
      </c>
      <c r="J297" s="230">
        <f t="shared" si="22"/>
        <v>52462.800714870151</v>
      </c>
      <c r="K297" s="114">
        <f t="shared" si="23"/>
        <v>-34371.007535080062</v>
      </c>
      <c r="L297" s="230">
        <f t="shared" si="24"/>
        <v>86833.808249950205</v>
      </c>
      <c r="M297" s="231">
        <f t="shared" si="25"/>
        <v>-3753074.6119918237</v>
      </c>
    </row>
    <row r="298" spans="9:13" hidden="1">
      <c r="I298" s="114">
        <v>296</v>
      </c>
      <c r="J298" s="230">
        <f t="shared" si="22"/>
        <v>52462.800714870151</v>
      </c>
      <c r="K298" s="114">
        <f t="shared" si="23"/>
        <v>-35185.074487423342</v>
      </c>
      <c r="L298" s="230">
        <f t="shared" si="24"/>
        <v>87647.875202293493</v>
      </c>
      <c r="M298" s="231">
        <f t="shared" si="25"/>
        <v>-3840722.4871941172</v>
      </c>
    </row>
    <row r="299" spans="9:13" hidden="1">
      <c r="I299" s="114">
        <v>297</v>
      </c>
      <c r="J299" s="230">
        <f t="shared" si="22"/>
        <v>52462.800714870151</v>
      </c>
      <c r="K299" s="114">
        <f t="shared" si="23"/>
        <v>-36006.773317444844</v>
      </c>
      <c r="L299" s="230">
        <f t="shared" si="24"/>
        <v>88469.574032314995</v>
      </c>
      <c r="M299" s="231">
        <f t="shared" si="25"/>
        <v>-3929192.0612264322</v>
      </c>
    </row>
    <row r="300" spans="9:13" hidden="1">
      <c r="I300" s="114">
        <v>298</v>
      </c>
      <c r="J300" s="230">
        <f t="shared" si="22"/>
        <v>52462.800714870151</v>
      </c>
      <c r="K300" s="114">
        <f t="shared" si="23"/>
        <v>-36836.175573997803</v>
      </c>
      <c r="L300" s="230">
        <f t="shared" si="24"/>
        <v>89298.976288867954</v>
      </c>
      <c r="M300" s="231">
        <f t="shared" si="25"/>
        <v>-4018491.0375153003</v>
      </c>
    </row>
    <row r="301" spans="9:13" hidden="1">
      <c r="I301" s="114">
        <v>299</v>
      </c>
      <c r="J301" s="230">
        <f t="shared" si="22"/>
        <v>52462.800714870151</v>
      </c>
      <c r="K301" s="114">
        <f t="shared" si="23"/>
        <v>-37673.353476705939</v>
      </c>
      <c r="L301" s="230">
        <f t="shared" si="24"/>
        <v>90136.15419157609</v>
      </c>
      <c r="M301" s="231">
        <f t="shared" si="25"/>
        <v>-4108627.1917068763</v>
      </c>
    </row>
    <row r="302" spans="9:13" hidden="1">
      <c r="I302" s="114">
        <v>300</v>
      </c>
      <c r="J302" s="230">
        <f t="shared" si="22"/>
        <v>52462.800714870151</v>
      </c>
      <c r="K302" s="114">
        <f t="shared" si="23"/>
        <v>-38518.379922251966</v>
      </c>
      <c r="L302" s="230">
        <f t="shared" si="24"/>
        <v>90981.180637122117</v>
      </c>
      <c r="M302" s="231">
        <f t="shared" si="25"/>
        <v>-4199608.3723439984</v>
      </c>
    </row>
    <row r="303" spans="9:13" hidden="1"/>
    <row r="304" spans="9:13" hidden="1"/>
    <row r="305" hidden="1"/>
    <row r="306" hidden="1"/>
  </sheetData>
  <mergeCells count="6">
    <mergeCell ref="A1:G2"/>
    <mergeCell ref="D8:G8"/>
    <mergeCell ref="B11:C11"/>
    <mergeCell ref="E11:F11"/>
    <mergeCell ref="B19:C21"/>
    <mergeCell ref="E19:F20"/>
  </mergeCells>
  <dataValidations count="1">
    <dataValidation type="whole" allowBlank="1" showInputMessage="1" showErrorMessage="1" errorTitle="Alert!" error="Tenure of loan can be maximum 25 years" sqref="C6" xr:uid="{00000000-0002-0000-0800-000000000000}">
      <formula1>1</formula1>
      <formula2>25</formula2>
    </dataValidation>
  </dataValidations>
  <pageMargins left="0.7" right="0.7" top="0.75" bottom="0.75" header="0.3" footer="0.3"/>
  <pageSetup scale="97"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25</vt:i4>
      </vt:variant>
      <vt:variant>
        <vt:lpstr>Named Ranges</vt:lpstr>
      </vt:variant>
      <vt:variant>
        <vt:i4>36</vt:i4>
      </vt:variant>
    </vt:vector>
  </HeadingPairs>
  <TitlesOfParts>
    <vt:vector size="61" baseType="lpstr">
      <vt:lpstr>MAIN MENU</vt:lpstr>
      <vt:lpstr>SIP GRAPH</vt:lpstr>
      <vt:lpstr>SIP DELAY</vt:lpstr>
      <vt:lpstr>SIP TARGET</vt:lpstr>
      <vt:lpstr>RETIREMENT</vt:lpstr>
      <vt:lpstr>SWP_NEW</vt:lpstr>
      <vt:lpstr>SWP</vt:lpstr>
      <vt:lpstr>STP_CapSafe</vt:lpstr>
      <vt:lpstr>SAVING ON EMI</vt:lpstr>
      <vt:lpstr>DCF</vt:lpstr>
      <vt:lpstr>FinPlan</vt:lpstr>
      <vt:lpstr>OTHERS</vt:lpstr>
      <vt:lpstr>OTHERS (2)</vt:lpstr>
      <vt:lpstr>Debt_FD</vt:lpstr>
      <vt:lpstr>Debt_FD_SWP (2)</vt:lpstr>
      <vt:lpstr>SWP_CashFlow (2)</vt:lpstr>
      <vt:lpstr>Debt_FD_SWP (3)</vt:lpstr>
      <vt:lpstr>SWP_CashFlow (3)</vt:lpstr>
      <vt:lpstr>HomePage</vt:lpstr>
      <vt:lpstr>AMT</vt:lpstr>
      <vt:lpstr>PERCENT</vt:lpstr>
      <vt:lpstr>RESULT</vt:lpstr>
      <vt:lpstr>ANALYSIS</vt:lpstr>
      <vt:lpstr>Capital Gain</vt:lpstr>
      <vt:lpstr>DISCLAIMER</vt:lpstr>
      <vt:lpstr>CellOne</vt:lpstr>
      <vt:lpstr>D_DDT</vt:lpstr>
      <vt:lpstr>D_ServiceTax</vt:lpstr>
      <vt:lpstr>D_Surcharge</vt:lpstr>
      <vt:lpstr>DCF</vt:lpstr>
      <vt:lpstr>Debt_FD</vt:lpstr>
      <vt:lpstr>DivSWP</vt:lpstr>
      <vt:lpstr>E_DDT</vt:lpstr>
      <vt:lpstr>'SWP_CashFlow (3)'!E_ServiceTax</vt:lpstr>
      <vt:lpstr>E_ServiceTax</vt:lpstr>
      <vt:lpstr>E_Surcharge</vt:lpstr>
      <vt:lpstr>GOALS</vt:lpstr>
      <vt:lpstr>AMT!HOME</vt:lpstr>
      <vt:lpstr>ANALYSIS!HOME</vt:lpstr>
      <vt:lpstr>HomePage!HOME</vt:lpstr>
      <vt:lpstr>RESULT!HOME</vt:lpstr>
      <vt:lpstr>HOME</vt:lpstr>
      <vt:lpstr>HOME_LOAN</vt:lpstr>
      <vt:lpstr>IntSWP</vt:lpstr>
      <vt:lpstr>ANALYSIS!Print_Area</vt:lpstr>
      <vt:lpstr>DCF!Print_Area</vt:lpstr>
      <vt:lpstr>RETIREMENT!Print_Area</vt:lpstr>
      <vt:lpstr>'SIP DELAY'!Print_Area</vt:lpstr>
      <vt:lpstr>'SIP TARGET'!Print_Area</vt:lpstr>
      <vt:lpstr>SWP!Print_Area</vt:lpstr>
      <vt:lpstr>RESULT</vt:lpstr>
      <vt:lpstr>RETIREMENT</vt:lpstr>
      <vt:lpstr>Scenario1</vt:lpstr>
      <vt:lpstr>SIP_DELAY</vt:lpstr>
      <vt:lpstr>SIP_GRAPH</vt:lpstr>
      <vt:lpstr>SIP_TARGET</vt:lpstr>
      <vt:lpstr>STP_CapSafe</vt:lpstr>
      <vt:lpstr>Table</vt:lpstr>
      <vt:lpstr>'Debt_FD_SWP (2)'!Validation</vt:lpstr>
      <vt:lpstr>'Debt_FD_SWP (3)'!Validation</vt:lpstr>
      <vt:lpstr>Years</vt:lpstr>
    </vt:vector>
  </TitlesOfParts>
  <Company>GC6J3-GTQ62-FP876-94FBR-D3DX8</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user1</cp:lastModifiedBy>
  <cp:lastPrinted>2016-09-28T08:53:53Z</cp:lastPrinted>
  <dcterms:created xsi:type="dcterms:W3CDTF">2004-09-13T00:54:37Z</dcterms:created>
  <dcterms:modified xsi:type="dcterms:W3CDTF">2018-08-13T10:11:52Z</dcterms:modified>
</cp:coreProperties>
</file>